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Y:\★市民税班\★市民税班\国保です！\○試算用○\"/>
    </mc:Choice>
  </mc:AlternateContent>
  <xr:revisionPtr revIDLastSave="0" documentId="13_ncr:1_{860B7032-805F-420F-A79E-6EC1D8334DB8}" xr6:coauthVersionLast="47" xr6:coauthVersionMax="47" xr10:uidLastSave="{00000000-0000-0000-0000-000000000000}"/>
  <workbookProtection workbookAlgorithmName="SHA-512" workbookHashValue="eYlzyD/zcLxZ8n/ctvmWMyztB75uJtXGfOWo3gu2I3XGOQy56UN812hRi1TGu2i2Z8sNbVgYINJ+yTaUgpXNoA==" workbookSaltValue="e+v1HpKFJTlC8wbwsOecjA==" workbookSpinCount="100000" lockStructure="1"/>
  <bookViews>
    <workbookView xWindow="-120" yWindow="-120" windowWidth="20730" windowHeight="11040" xr2:uid="{00000000-000D-0000-FFFF-FFFF00000000}"/>
  </bookViews>
  <sheets>
    <sheet name="試算シミュレーション" sheetId="1" r:id="rId1"/>
    <sheet name="給与所得" sheetId="2" state="hidden" r:id="rId2"/>
    <sheet name="年金所得" sheetId="3" state="hidden" r:id="rId3"/>
    <sheet name="税額計算" sheetId="4" state="hidden" r:id="rId4"/>
  </sheets>
  <definedNames>
    <definedName name="_xlnm.Print_Area" localSheetId="0">試算シミュレーション!$A$1:$O$84</definedName>
    <definedName name="_xlnm.Print_Area" localSheetId="3">税額計算!$A$1:$AY$106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1" l="1"/>
  <c r="J4" i="2"/>
  <c r="J14" i="2" l="1"/>
  <c r="AH89" i="4" l="1"/>
  <c r="AH88" i="4"/>
  <c r="AH87" i="4"/>
  <c r="AH86" i="4"/>
  <c r="AH85" i="4"/>
  <c r="AH84" i="4"/>
  <c r="AH83" i="4"/>
  <c r="AH77" i="4"/>
  <c r="E77" i="4" s="1"/>
  <c r="E101" i="4" s="1"/>
  <c r="AH76" i="4"/>
  <c r="AH75" i="4"/>
  <c r="AH74" i="4"/>
  <c r="AH73" i="4"/>
  <c r="AH72" i="4"/>
  <c r="AH71" i="4"/>
  <c r="A95" i="4"/>
  <c r="A71" i="4"/>
  <c r="D71" i="4" s="1"/>
  <c r="A101" i="4"/>
  <c r="D101" i="4" s="1"/>
  <c r="A100" i="4"/>
  <c r="D100" i="4" s="1"/>
  <c r="A99" i="4"/>
  <c r="A98" i="4"/>
  <c r="D98" i="4" s="1"/>
  <c r="A97" i="4"/>
  <c r="A96" i="4"/>
  <c r="D96" i="4" s="1"/>
  <c r="A89" i="4"/>
  <c r="A88" i="4"/>
  <c r="A87" i="4"/>
  <c r="D87" i="4" s="1"/>
  <c r="A86" i="4"/>
  <c r="A85" i="4"/>
  <c r="D85" i="4" s="1"/>
  <c r="A84" i="4"/>
  <c r="A83" i="4"/>
  <c r="D83" i="4" s="1"/>
  <c r="D89" i="4" l="1"/>
  <c r="N89" i="4" s="1"/>
  <c r="C88" i="4"/>
  <c r="D88" i="4"/>
  <c r="N88" i="4" s="1"/>
  <c r="C99" i="4"/>
  <c r="H99" i="4" s="1"/>
  <c r="D99" i="4"/>
  <c r="C86" i="4"/>
  <c r="D86" i="4"/>
  <c r="C97" i="4"/>
  <c r="D97" i="4"/>
  <c r="C84" i="4"/>
  <c r="D84" i="4"/>
  <c r="C95" i="4"/>
  <c r="D95" i="4"/>
  <c r="C101" i="4"/>
  <c r="C89" i="4"/>
  <c r="E89" i="4"/>
  <c r="C71" i="4"/>
  <c r="C83" i="4"/>
  <c r="C85" i="4"/>
  <c r="C87" i="4"/>
  <c r="C96" i="4"/>
  <c r="C98" i="4"/>
  <c r="H98" i="4" s="1"/>
  <c r="C100" i="4"/>
  <c r="H100" i="4" s="1"/>
  <c r="A77" i="4"/>
  <c r="D77" i="4" s="1"/>
  <c r="A76" i="4"/>
  <c r="D76" i="4" s="1"/>
  <c r="A75" i="4"/>
  <c r="D75" i="4" s="1"/>
  <c r="A74" i="4"/>
  <c r="D74" i="4" s="1"/>
  <c r="A73" i="4"/>
  <c r="D73" i="4" s="1"/>
  <c r="A72" i="4"/>
  <c r="D72" i="4" s="1"/>
  <c r="K99" i="4" l="1"/>
  <c r="C77" i="4"/>
  <c r="N77" i="4"/>
  <c r="C73" i="4"/>
  <c r="C72" i="4"/>
  <c r="C76" i="4"/>
  <c r="N76" i="4"/>
  <c r="C74" i="4"/>
  <c r="K100" i="4"/>
  <c r="C75" i="4"/>
  <c r="K98" i="4"/>
  <c r="T57" i="4" l="1"/>
  <c r="W57" i="4" l="1"/>
  <c r="E76" i="4" s="1"/>
  <c r="AU49" i="4"/>
  <c r="AS54" i="4"/>
  <c r="AB54" i="4"/>
  <c r="K54" i="4"/>
  <c r="T40" i="4"/>
  <c r="AP37" i="4"/>
  <c r="Y37" i="4"/>
  <c r="C40" i="4"/>
  <c r="H37" i="4"/>
  <c r="AA65" i="4"/>
  <c r="AA64" i="4"/>
  <c r="AA63" i="4"/>
  <c r="W65" i="4"/>
  <c r="W64" i="4"/>
  <c r="W63" i="4"/>
  <c r="S63" i="4"/>
  <c r="S64" i="4" s="1"/>
  <c r="S65" i="4" s="1"/>
  <c r="O65" i="4"/>
  <c r="O64" i="4"/>
  <c r="O63" i="4"/>
  <c r="K65" i="4"/>
  <c r="K64" i="4"/>
  <c r="K63" i="4"/>
  <c r="G65" i="4"/>
  <c r="G64" i="4"/>
  <c r="G63" i="4"/>
  <c r="I29" i="4"/>
  <c r="S6" i="4"/>
  <c r="AD6" i="4" s="1"/>
  <c r="S8" i="4"/>
  <c r="AD8" i="4" s="1"/>
  <c r="S10" i="4"/>
  <c r="AD10" i="4" s="1"/>
  <c r="S12" i="4"/>
  <c r="AD12" i="4" s="1"/>
  <c r="S14" i="4"/>
  <c r="AD14" i="4" s="1"/>
  <c r="S16" i="4"/>
  <c r="AD16" i="4" s="1"/>
  <c r="S4" i="4"/>
  <c r="AD4" i="4" s="1"/>
  <c r="P5" i="4"/>
  <c r="P7" i="4"/>
  <c r="P9" i="4"/>
  <c r="P11" i="4"/>
  <c r="P13" i="4"/>
  <c r="P15" i="4"/>
  <c r="P17" i="4"/>
  <c r="E88" i="4" l="1"/>
  <c r="E100" i="4"/>
  <c r="D52" i="1"/>
  <c r="E75" i="4"/>
  <c r="E71" i="4"/>
  <c r="E95" i="4" s="1"/>
  <c r="E74" i="4"/>
  <c r="E73" i="4"/>
  <c r="E72" i="4"/>
  <c r="E84" i="4" s="1"/>
  <c r="U14" i="4"/>
  <c r="U6" i="4"/>
  <c r="U12" i="4"/>
  <c r="U4" i="4"/>
  <c r="U10" i="4"/>
  <c r="U16" i="4"/>
  <c r="U8" i="4"/>
  <c r="E87" i="4" l="1"/>
  <c r="E99" i="4"/>
  <c r="E83" i="4"/>
  <c r="E97" i="4"/>
  <c r="E85" i="4"/>
  <c r="E86" i="4"/>
  <c r="E98" i="4"/>
  <c r="E96" i="4"/>
  <c r="V10" i="4"/>
  <c r="Z10" i="4" s="1"/>
  <c r="V12" i="4"/>
  <c r="AA12" i="4" s="1"/>
  <c r="V14" i="4"/>
  <c r="AA14" i="4" s="1"/>
  <c r="AK40" i="4"/>
  <c r="C29" i="4"/>
  <c r="C43" i="4"/>
  <c r="T43" i="4"/>
  <c r="AD12" i="2"/>
  <c r="I17" i="2"/>
  <c r="J6" i="2"/>
  <c r="K6" i="2"/>
  <c r="Z12" i="4" l="1"/>
  <c r="AA10" i="4"/>
  <c r="Z14" i="4"/>
  <c r="L6" i="2"/>
  <c r="I6" i="2" s="1"/>
  <c r="AR19" i="3" l="1"/>
  <c r="AR18" i="3"/>
  <c r="AR17" i="3"/>
  <c r="AR16" i="3"/>
  <c r="AR15" i="3"/>
  <c r="AR14" i="3"/>
  <c r="AQ19" i="3"/>
  <c r="AQ18" i="3"/>
  <c r="AQ17" i="3"/>
  <c r="AQ15" i="3"/>
  <c r="AQ16" i="3"/>
  <c r="AQ14" i="3"/>
  <c r="AR9" i="3"/>
  <c r="AR8" i="3"/>
  <c r="AR7" i="3"/>
  <c r="AR6" i="3"/>
  <c r="AR5" i="3"/>
  <c r="AR4" i="3"/>
  <c r="AQ9" i="3"/>
  <c r="AQ8" i="3"/>
  <c r="AQ7" i="3"/>
  <c r="AQ6" i="3"/>
  <c r="AQ5" i="3"/>
  <c r="AQ4" i="3"/>
  <c r="AT14" i="2"/>
  <c r="AT13" i="2"/>
  <c r="AT12" i="2"/>
  <c r="AT11" i="2"/>
  <c r="AT10" i="2"/>
  <c r="AT9" i="2"/>
  <c r="AT8" i="2"/>
  <c r="AT7" i="2"/>
  <c r="AT6" i="2"/>
  <c r="AT5" i="2"/>
  <c r="AS14" i="2"/>
  <c r="AS13" i="2"/>
  <c r="AS12" i="2"/>
  <c r="AS11" i="2"/>
  <c r="AS10" i="2"/>
  <c r="AS9" i="2"/>
  <c r="AS8" i="2"/>
  <c r="AS7" i="2"/>
  <c r="AS6" i="2"/>
  <c r="AS5" i="2"/>
  <c r="AT4" i="2"/>
  <c r="AS4" i="2"/>
  <c r="S48" i="1"/>
  <c r="AU6" i="2" l="1"/>
  <c r="AR6" i="2" s="1"/>
  <c r="AS16" i="3"/>
  <c r="AP16" i="3" s="1"/>
  <c r="AU11" i="2"/>
  <c r="AR11" i="2" s="1"/>
  <c r="AS4" i="3"/>
  <c r="AP4" i="3" s="1"/>
  <c r="AS5" i="3"/>
  <c r="AP5" i="3" s="1"/>
  <c r="AS9" i="3"/>
  <c r="AP9" i="3" s="1"/>
  <c r="AS19" i="3"/>
  <c r="AP19" i="3" s="1"/>
  <c r="AS17" i="3"/>
  <c r="AP17" i="3" s="1"/>
  <c r="AS15" i="3"/>
  <c r="AP15" i="3" s="1"/>
  <c r="AS18" i="3"/>
  <c r="AP18" i="3" s="1"/>
  <c r="AS14" i="3"/>
  <c r="AP14" i="3" s="1"/>
  <c r="AS8" i="3"/>
  <c r="AP8" i="3" s="1"/>
  <c r="AS6" i="3"/>
  <c r="AP6" i="3" s="1"/>
  <c r="AS7" i="3"/>
  <c r="AP7" i="3" s="1"/>
  <c r="AU5" i="2"/>
  <c r="AR5" i="2" s="1"/>
  <c r="AU10" i="2"/>
  <c r="AR10" i="2" s="1"/>
  <c r="AU14" i="2"/>
  <c r="AR14" i="2" s="1"/>
  <c r="AU12" i="2"/>
  <c r="AQ12" i="2" s="1"/>
  <c r="AU8" i="2"/>
  <c r="AR8" i="2" s="1"/>
  <c r="AU7" i="2"/>
  <c r="AQ7" i="2" s="1"/>
  <c r="AU13" i="2"/>
  <c r="AR13" i="2" s="1"/>
  <c r="AU9" i="2"/>
  <c r="AQ9" i="2" s="1"/>
  <c r="AU4" i="2"/>
  <c r="AQ4" i="2" s="1"/>
  <c r="AO5" i="3" l="1"/>
  <c r="AO16" i="3"/>
  <c r="AR12" i="2"/>
  <c r="AQ6" i="2"/>
  <c r="AO15" i="3"/>
  <c r="AQ11" i="2"/>
  <c r="AR9" i="2"/>
  <c r="AO6" i="3"/>
  <c r="AO19" i="3"/>
  <c r="AR7" i="2"/>
  <c r="AO9" i="3"/>
  <c r="AR4" i="2"/>
  <c r="AQ10" i="2"/>
  <c r="AQ8" i="2"/>
  <c r="AO4" i="3"/>
  <c r="AQ5" i="2"/>
  <c r="AO17" i="3"/>
  <c r="AO8" i="3"/>
  <c r="AO18" i="3"/>
  <c r="AO14" i="3"/>
  <c r="AO7" i="3"/>
  <c r="AP20" i="3"/>
  <c r="I48" i="1" s="1"/>
  <c r="AP10" i="3"/>
  <c r="G48" i="1" s="1"/>
  <c r="G2" i="4" s="1"/>
  <c r="AQ14" i="2"/>
  <c r="AQ13" i="2"/>
  <c r="Q49" i="1" l="1"/>
  <c r="G3" i="4"/>
  <c r="K3" i="4" s="1"/>
  <c r="AR15" i="2"/>
  <c r="E48" i="1" s="1"/>
  <c r="Q48" i="1" l="1"/>
  <c r="K48" i="1" s="1"/>
  <c r="L48" i="1" s="1"/>
  <c r="C2" i="4"/>
  <c r="K2" i="4" s="1"/>
  <c r="AM19" i="3"/>
  <c r="AM18" i="3"/>
  <c r="AM17" i="3"/>
  <c r="AM16" i="3"/>
  <c r="AM15" i="3"/>
  <c r="AM14" i="3"/>
  <c r="AL19" i="3"/>
  <c r="AL18" i="3"/>
  <c r="AL17" i="3"/>
  <c r="AL16" i="3"/>
  <c r="AL15" i="3"/>
  <c r="AL14" i="3"/>
  <c r="AN19" i="3" l="1"/>
  <c r="AK19" i="3" s="1"/>
  <c r="AN18" i="3"/>
  <c r="AK18" i="3" s="1"/>
  <c r="AN17" i="3"/>
  <c r="AK17" i="3" s="1"/>
  <c r="AN16" i="3"/>
  <c r="AK16" i="3" s="1"/>
  <c r="AN15" i="3"/>
  <c r="AK15" i="3" s="1"/>
  <c r="AN14" i="3"/>
  <c r="AH19" i="3"/>
  <c r="AG19" i="3"/>
  <c r="AH18" i="3"/>
  <c r="AG18" i="3"/>
  <c r="AH17" i="3"/>
  <c r="AG17" i="3"/>
  <c r="AH16" i="3"/>
  <c r="AG16" i="3"/>
  <c r="AH15" i="3"/>
  <c r="AG15" i="3"/>
  <c r="AH14" i="3"/>
  <c r="AG14" i="3"/>
  <c r="AC19" i="3"/>
  <c r="AB19" i="3"/>
  <c r="AC18" i="3"/>
  <c r="AB18" i="3"/>
  <c r="AC17" i="3"/>
  <c r="AB17" i="3"/>
  <c r="AC16" i="3"/>
  <c r="AB16" i="3"/>
  <c r="AC15" i="3"/>
  <c r="AB15" i="3"/>
  <c r="AC14" i="3"/>
  <c r="AB14" i="3"/>
  <c r="X19" i="3"/>
  <c r="W19" i="3"/>
  <c r="X18" i="3"/>
  <c r="W18" i="3"/>
  <c r="X17" i="3"/>
  <c r="W17" i="3"/>
  <c r="X16" i="3"/>
  <c r="W16" i="3"/>
  <c r="X15" i="3"/>
  <c r="W15" i="3"/>
  <c r="X14" i="3"/>
  <c r="W14" i="3"/>
  <c r="S19" i="3"/>
  <c r="R19" i="3"/>
  <c r="S18" i="3"/>
  <c r="R18" i="3"/>
  <c r="S17" i="3"/>
  <c r="R17" i="3"/>
  <c r="S16" i="3"/>
  <c r="R16" i="3"/>
  <c r="S15" i="3"/>
  <c r="R15" i="3"/>
  <c r="S14" i="3"/>
  <c r="R14" i="3"/>
  <c r="N19" i="3"/>
  <c r="N18" i="3"/>
  <c r="N17" i="3"/>
  <c r="N16" i="3"/>
  <c r="N15" i="3"/>
  <c r="N14" i="3"/>
  <c r="M19" i="3"/>
  <c r="M18" i="3"/>
  <c r="M17" i="3"/>
  <c r="M16" i="3"/>
  <c r="M15" i="3"/>
  <c r="M14" i="3"/>
  <c r="I19" i="3"/>
  <c r="H19" i="3"/>
  <c r="I18" i="3"/>
  <c r="I17" i="3"/>
  <c r="I16" i="3"/>
  <c r="I15" i="3"/>
  <c r="I14" i="3"/>
  <c r="H18" i="3"/>
  <c r="H17" i="3"/>
  <c r="H16" i="3"/>
  <c r="H15" i="3"/>
  <c r="H14" i="3"/>
  <c r="AM9" i="3"/>
  <c r="AM8" i="3"/>
  <c r="AM7" i="3"/>
  <c r="AM6" i="3"/>
  <c r="AM5" i="3"/>
  <c r="AM4" i="3"/>
  <c r="AL9" i="3"/>
  <c r="AL8" i="3"/>
  <c r="AL7" i="3"/>
  <c r="AL6" i="3"/>
  <c r="AL5" i="3"/>
  <c r="AL4" i="3"/>
  <c r="AH9" i="3"/>
  <c r="AH8" i="3"/>
  <c r="AH7" i="3"/>
  <c r="AH6" i="3"/>
  <c r="AH5" i="3"/>
  <c r="AH4" i="3"/>
  <c r="AG9" i="3"/>
  <c r="AG8" i="3"/>
  <c r="AG7" i="3"/>
  <c r="AG6" i="3"/>
  <c r="AG5" i="3"/>
  <c r="AG4" i="3"/>
  <c r="AC9" i="3"/>
  <c r="AC8" i="3"/>
  <c r="AC7" i="3"/>
  <c r="AC6" i="3"/>
  <c r="AC5" i="3"/>
  <c r="AC4" i="3"/>
  <c r="X9" i="3"/>
  <c r="X8" i="3"/>
  <c r="X7" i="3"/>
  <c r="X6" i="3"/>
  <c r="X5" i="3"/>
  <c r="X4" i="3"/>
  <c r="AB9" i="3"/>
  <c r="AB8" i="3"/>
  <c r="AB7" i="3"/>
  <c r="AB6" i="3"/>
  <c r="AB5" i="3"/>
  <c r="AB4" i="3"/>
  <c r="W9" i="3"/>
  <c r="W8" i="3"/>
  <c r="W7" i="3"/>
  <c r="W6" i="3"/>
  <c r="W5" i="3"/>
  <c r="W4" i="3"/>
  <c r="S9" i="3"/>
  <c r="S8" i="3"/>
  <c r="S7" i="3"/>
  <c r="S6" i="3"/>
  <c r="S5" i="3"/>
  <c r="S4" i="3"/>
  <c r="R9" i="3"/>
  <c r="R8" i="3"/>
  <c r="R7" i="3"/>
  <c r="R6" i="3"/>
  <c r="R5" i="3"/>
  <c r="R4" i="3"/>
  <c r="N6" i="3"/>
  <c r="N9" i="3"/>
  <c r="M4" i="3"/>
  <c r="N8" i="3"/>
  <c r="N7" i="3"/>
  <c r="N5" i="3"/>
  <c r="N4" i="3"/>
  <c r="M9" i="3"/>
  <c r="M8" i="3"/>
  <c r="M7" i="3"/>
  <c r="M6" i="3"/>
  <c r="M5" i="3"/>
  <c r="I4" i="3"/>
  <c r="H9" i="3"/>
  <c r="I9" i="3"/>
  <c r="I8" i="3"/>
  <c r="H8" i="3"/>
  <c r="I7" i="3"/>
  <c r="H7" i="3"/>
  <c r="I6" i="3"/>
  <c r="H6" i="3"/>
  <c r="I5" i="3"/>
  <c r="H5" i="3"/>
  <c r="H4" i="3"/>
  <c r="AO14" i="2"/>
  <c r="AO13" i="2"/>
  <c r="AO10" i="2"/>
  <c r="AO12" i="2"/>
  <c r="AO11" i="2"/>
  <c r="AO9" i="2"/>
  <c r="AO8" i="2"/>
  <c r="AO7" i="2"/>
  <c r="AO6" i="2"/>
  <c r="AO5" i="2"/>
  <c r="AO4" i="2"/>
  <c r="AN14" i="2"/>
  <c r="AN13" i="2"/>
  <c r="AN12" i="2"/>
  <c r="AN11" i="2"/>
  <c r="AN10" i="2"/>
  <c r="AN9" i="2"/>
  <c r="AN8" i="2"/>
  <c r="AN7" i="2"/>
  <c r="AN6" i="2"/>
  <c r="AN5" i="2"/>
  <c r="AN4" i="2"/>
  <c r="AJ14" i="2"/>
  <c r="AJ13" i="2"/>
  <c r="AJ12" i="2"/>
  <c r="AJ11" i="2"/>
  <c r="AJ10" i="2"/>
  <c r="AJ9" i="2"/>
  <c r="AJ8" i="2"/>
  <c r="AJ7" i="2"/>
  <c r="AJ6" i="2"/>
  <c r="AJ5" i="2"/>
  <c r="AJ4" i="2"/>
  <c r="AI14" i="2"/>
  <c r="AI13" i="2"/>
  <c r="AI12" i="2"/>
  <c r="AI11" i="2"/>
  <c r="AI10" i="2"/>
  <c r="AI9" i="2"/>
  <c r="AI8" i="2"/>
  <c r="AI7" i="2"/>
  <c r="AI6" i="2"/>
  <c r="AI5" i="2"/>
  <c r="AI4" i="2"/>
  <c r="AE14" i="2"/>
  <c r="AE13" i="2"/>
  <c r="AE12" i="2"/>
  <c r="AE11" i="2"/>
  <c r="AE10" i="2"/>
  <c r="AE9" i="2"/>
  <c r="AE8" i="2"/>
  <c r="AE7" i="2"/>
  <c r="AE6" i="2"/>
  <c r="AE5" i="2"/>
  <c r="AE4" i="2"/>
  <c r="AD14" i="2"/>
  <c r="AD13" i="2"/>
  <c r="AD11" i="2"/>
  <c r="AD10" i="2"/>
  <c r="AD9" i="2"/>
  <c r="AD8" i="2"/>
  <c r="AD7" i="2"/>
  <c r="AD6" i="2"/>
  <c r="AD5" i="2"/>
  <c r="AD4" i="2"/>
  <c r="Z14" i="2"/>
  <c r="Z13" i="2"/>
  <c r="Z12" i="2"/>
  <c r="Z11" i="2"/>
  <c r="Z10" i="2"/>
  <c r="Z9" i="2"/>
  <c r="Z8" i="2"/>
  <c r="Z7" i="2"/>
  <c r="Z6" i="2"/>
  <c r="Z5" i="2"/>
  <c r="Z4" i="2"/>
  <c r="Y14" i="2"/>
  <c r="Y13" i="2"/>
  <c r="Y12" i="2"/>
  <c r="Y11" i="2"/>
  <c r="Y10" i="2"/>
  <c r="Y9" i="2"/>
  <c r="Y8" i="2"/>
  <c r="Y7" i="2"/>
  <c r="Y6" i="2"/>
  <c r="Y5" i="2"/>
  <c r="Y4" i="2"/>
  <c r="U14" i="2"/>
  <c r="U13" i="2"/>
  <c r="U12" i="2"/>
  <c r="U11" i="2"/>
  <c r="U10" i="2"/>
  <c r="U9" i="2"/>
  <c r="U8" i="2"/>
  <c r="U7" i="2"/>
  <c r="U6" i="2"/>
  <c r="U5" i="2"/>
  <c r="U4" i="2"/>
  <c r="T14" i="2"/>
  <c r="T13" i="2"/>
  <c r="T12" i="2"/>
  <c r="T11" i="2"/>
  <c r="T5" i="2"/>
  <c r="T10" i="2"/>
  <c r="T9" i="2"/>
  <c r="T8" i="2"/>
  <c r="T7" i="2"/>
  <c r="T6" i="2"/>
  <c r="T4" i="2"/>
  <c r="P14" i="2"/>
  <c r="P13" i="2"/>
  <c r="P12" i="2"/>
  <c r="P11" i="2"/>
  <c r="P10" i="2"/>
  <c r="P9" i="2"/>
  <c r="P8" i="2"/>
  <c r="P6" i="2"/>
  <c r="O14" i="2"/>
  <c r="O13" i="2"/>
  <c r="O12" i="2"/>
  <c r="O11" i="2"/>
  <c r="O10" i="2"/>
  <c r="O9" i="2"/>
  <c r="O7" i="2"/>
  <c r="O6" i="2"/>
  <c r="O5" i="2"/>
  <c r="O8" i="2"/>
  <c r="P7" i="2"/>
  <c r="P5" i="2"/>
  <c r="P4" i="2"/>
  <c r="O4" i="2"/>
  <c r="K4" i="2"/>
  <c r="Y7" i="3" l="1"/>
  <c r="U7" i="3" s="1"/>
  <c r="AD4" i="3"/>
  <c r="AA4" i="3" s="1"/>
  <c r="AD8" i="3"/>
  <c r="Z8" i="3" s="1"/>
  <c r="J16" i="3"/>
  <c r="F16" i="3" s="1"/>
  <c r="T15" i="3"/>
  <c r="P15" i="3" s="1"/>
  <c r="T17" i="3"/>
  <c r="Q17" i="3" s="1"/>
  <c r="AI8" i="3"/>
  <c r="AF8" i="3" s="1"/>
  <c r="AN4" i="3"/>
  <c r="T19" i="3"/>
  <c r="P19" i="3" s="1"/>
  <c r="T16" i="3"/>
  <c r="P16" i="3" s="1"/>
  <c r="AI5" i="3"/>
  <c r="AF5" i="3" s="1"/>
  <c r="AI9" i="3"/>
  <c r="AE9" i="3" s="1"/>
  <c r="AN9" i="3"/>
  <c r="AK9" i="3" s="1"/>
  <c r="T9" i="3"/>
  <c r="Q9" i="3" s="1"/>
  <c r="O7" i="3"/>
  <c r="O6" i="3"/>
  <c r="L6" i="3" s="1"/>
  <c r="AP8" i="2"/>
  <c r="AL8" i="2" s="1"/>
  <c r="J9" i="3"/>
  <c r="F9" i="3" s="1"/>
  <c r="AP10" i="2"/>
  <c r="AM10" i="2" s="1"/>
  <c r="O5" i="3"/>
  <c r="L5" i="3" s="1"/>
  <c r="O9" i="3"/>
  <c r="L9" i="3" s="1"/>
  <c r="J14" i="3"/>
  <c r="J18" i="3"/>
  <c r="T14" i="3"/>
  <c r="P14" i="3" s="1"/>
  <c r="O8" i="3"/>
  <c r="L8" i="3" s="1"/>
  <c r="Y4" i="3"/>
  <c r="V4" i="3" s="1"/>
  <c r="Y8" i="3"/>
  <c r="V8" i="3" s="1"/>
  <c r="AD6" i="3"/>
  <c r="AA6" i="3" s="1"/>
  <c r="AN6" i="3"/>
  <c r="AK6" i="3" s="1"/>
  <c r="O19" i="3"/>
  <c r="L19" i="3" s="1"/>
  <c r="O16" i="3"/>
  <c r="L16" i="3" s="1"/>
  <c r="AP5" i="2"/>
  <c r="AM5" i="2" s="1"/>
  <c r="AP9" i="2"/>
  <c r="AL9" i="2" s="1"/>
  <c r="AP13" i="2"/>
  <c r="AM13" i="2" s="1"/>
  <c r="Y5" i="3"/>
  <c r="V5" i="3" s="1"/>
  <c r="Y9" i="3"/>
  <c r="V9" i="3" s="1"/>
  <c r="Y17" i="3"/>
  <c r="V17" i="3" s="1"/>
  <c r="T6" i="3"/>
  <c r="Q6" i="3" s="1"/>
  <c r="Y6" i="3"/>
  <c r="V6" i="3" s="1"/>
  <c r="AI7" i="3"/>
  <c r="AF7" i="3" s="1"/>
  <c r="AN7" i="3"/>
  <c r="AJ7" i="3" s="1"/>
  <c r="O17" i="3"/>
  <c r="K17" i="3" s="1"/>
  <c r="J5" i="3"/>
  <c r="T7" i="3"/>
  <c r="Q7" i="3" s="1"/>
  <c r="AD9" i="3"/>
  <c r="AA9" i="3" s="1"/>
  <c r="AJ15" i="3"/>
  <c r="AJ18" i="3"/>
  <c r="AJ16" i="3"/>
  <c r="AK14" i="3"/>
  <c r="AJ14" i="3"/>
  <c r="AJ19" i="3"/>
  <c r="AJ17" i="3"/>
  <c r="Y19" i="3"/>
  <c r="V19" i="3" s="1"/>
  <c r="Y18" i="3"/>
  <c r="V18" i="3" s="1"/>
  <c r="Y16" i="3"/>
  <c r="V16" i="3" s="1"/>
  <c r="Y15" i="3"/>
  <c r="V15" i="3" s="1"/>
  <c r="Y14" i="3"/>
  <c r="V14" i="3" s="1"/>
  <c r="T18" i="3"/>
  <c r="P18" i="3" s="1"/>
  <c r="O18" i="3"/>
  <c r="K18" i="3" s="1"/>
  <c r="O15" i="3"/>
  <c r="J19" i="3"/>
  <c r="J17" i="3"/>
  <c r="J15" i="3"/>
  <c r="AN5" i="3"/>
  <c r="AK5" i="3" s="1"/>
  <c r="AN8" i="3"/>
  <c r="AK8" i="3" s="1"/>
  <c r="AI6" i="3"/>
  <c r="AF6" i="3" s="1"/>
  <c r="AI4" i="3"/>
  <c r="AF4" i="3" s="1"/>
  <c r="AK4" i="3"/>
  <c r="AJ4" i="3"/>
  <c r="AD5" i="3"/>
  <c r="AA5" i="3" s="1"/>
  <c r="AD7" i="3"/>
  <c r="AA7" i="3" s="1"/>
  <c r="T5" i="3"/>
  <c r="Q5" i="3" s="1"/>
  <c r="T8" i="3"/>
  <c r="Q8" i="3" s="1"/>
  <c r="T4" i="3"/>
  <c r="Q4" i="3" s="1"/>
  <c r="O4" i="3"/>
  <c r="L4" i="3" s="1"/>
  <c r="J6" i="3"/>
  <c r="J7" i="3"/>
  <c r="G7" i="3" s="1"/>
  <c r="J4" i="3"/>
  <c r="J8" i="3"/>
  <c r="AP6" i="2"/>
  <c r="AL6" i="2" s="1"/>
  <c r="AP14" i="2"/>
  <c r="AM14" i="2" s="1"/>
  <c r="AP12" i="2"/>
  <c r="AL12" i="2" s="1"/>
  <c r="AP7" i="2"/>
  <c r="AL7" i="2" s="1"/>
  <c r="AP4" i="2"/>
  <c r="AM4" i="2" s="1"/>
  <c r="AP11" i="2"/>
  <c r="AM11" i="2" s="1"/>
  <c r="AA4" i="2"/>
  <c r="V4" i="2"/>
  <c r="L4" i="2"/>
  <c r="V7" i="3" l="1"/>
  <c r="Z4" i="3"/>
  <c r="AA8" i="3"/>
  <c r="AA10" i="3" s="1"/>
  <c r="G33" i="1" s="1"/>
  <c r="G12" i="4" s="1"/>
  <c r="AE7" i="3"/>
  <c r="AF9" i="3"/>
  <c r="AF10" i="3" s="1"/>
  <c r="G16" i="3"/>
  <c r="Q15" i="3"/>
  <c r="Q19" i="3"/>
  <c r="K6" i="3"/>
  <c r="U6" i="3"/>
  <c r="P17" i="3"/>
  <c r="AE5" i="3"/>
  <c r="U5" i="3"/>
  <c r="AL10" i="2"/>
  <c r="AE8" i="3"/>
  <c r="U8" i="3"/>
  <c r="K7" i="3"/>
  <c r="L7" i="3"/>
  <c r="L10" i="3" s="1"/>
  <c r="F5" i="3"/>
  <c r="G5" i="3"/>
  <c r="F18" i="3"/>
  <c r="G18" i="3"/>
  <c r="F15" i="3"/>
  <c r="G15" i="3"/>
  <c r="F14" i="3"/>
  <c r="G14" i="3"/>
  <c r="F17" i="3"/>
  <c r="G17" i="3"/>
  <c r="F19" i="3"/>
  <c r="G19" i="3"/>
  <c r="Q14" i="3"/>
  <c r="Z6" i="3"/>
  <c r="K16" i="3"/>
  <c r="U18" i="3"/>
  <c r="Q16" i="3"/>
  <c r="AL5" i="2"/>
  <c r="K5" i="3"/>
  <c r="P7" i="3"/>
  <c r="U9" i="3"/>
  <c r="U14" i="3"/>
  <c r="AJ9" i="3"/>
  <c r="K9" i="3"/>
  <c r="AJ6" i="3"/>
  <c r="U17" i="3"/>
  <c r="AM9" i="2"/>
  <c r="K8" i="3"/>
  <c r="AK7" i="3"/>
  <c r="AK10" i="3" s="1"/>
  <c r="G37" i="1" s="1"/>
  <c r="G16" i="4" s="1"/>
  <c r="AM12" i="2"/>
  <c r="AM8" i="2"/>
  <c r="Z9" i="3"/>
  <c r="G9" i="3"/>
  <c r="P6" i="3"/>
  <c r="AM6" i="2"/>
  <c r="P9" i="3"/>
  <c r="AJ5" i="3"/>
  <c r="U4" i="3"/>
  <c r="AE4" i="3"/>
  <c r="Z5" i="3"/>
  <c r="U15" i="3"/>
  <c r="AE6" i="3"/>
  <c r="K19" i="3"/>
  <c r="L17" i="3"/>
  <c r="AL13" i="2"/>
  <c r="U19" i="3"/>
  <c r="AM7" i="2"/>
  <c r="P5" i="3"/>
  <c r="AL4" i="2"/>
  <c r="P4" i="3"/>
  <c r="L18" i="3"/>
  <c r="Q18" i="3"/>
  <c r="AL14" i="2"/>
  <c r="U16" i="3"/>
  <c r="AK20" i="3"/>
  <c r="I37" i="1" s="1"/>
  <c r="G17" i="4" s="1"/>
  <c r="K17" i="4" s="1"/>
  <c r="AD19" i="3"/>
  <c r="AI19" i="3"/>
  <c r="AF19" i="3" s="1"/>
  <c r="AI18" i="3"/>
  <c r="AF18" i="3" s="1"/>
  <c r="AD18" i="3"/>
  <c r="AI17" i="3"/>
  <c r="AF17" i="3" s="1"/>
  <c r="AD17" i="3"/>
  <c r="AI16" i="3"/>
  <c r="AF16" i="3" s="1"/>
  <c r="AD16" i="3"/>
  <c r="AI15" i="3"/>
  <c r="AF15" i="3" s="1"/>
  <c r="AD15" i="3"/>
  <c r="AI14" i="3"/>
  <c r="AD14" i="3"/>
  <c r="V20" i="3"/>
  <c r="I31" i="1" s="1"/>
  <c r="G11" i="4" s="1"/>
  <c r="K11" i="4" s="1"/>
  <c r="L15" i="3"/>
  <c r="K15" i="3"/>
  <c r="AJ8" i="3"/>
  <c r="Z7" i="3"/>
  <c r="V10" i="3"/>
  <c r="P8" i="3"/>
  <c r="Q10" i="3"/>
  <c r="G29" i="1" s="1"/>
  <c r="G8" i="4" s="1"/>
  <c r="K4" i="3"/>
  <c r="F7" i="3"/>
  <c r="F8" i="3"/>
  <c r="G8" i="3"/>
  <c r="F6" i="3"/>
  <c r="G6" i="3"/>
  <c r="F4" i="3"/>
  <c r="G4" i="3"/>
  <c r="AL11" i="2"/>
  <c r="R4" i="2"/>
  <c r="S4" i="2"/>
  <c r="I4" i="2"/>
  <c r="AK4" i="2" s="1"/>
  <c r="Q20" i="3" l="1"/>
  <c r="I29" i="1" s="1"/>
  <c r="Q30" i="1" s="1"/>
  <c r="Q38" i="1"/>
  <c r="G35" i="1"/>
  <c r="G14" i="4" s="1"/>
  <c r="G31" i="1"/>
  <c r="G27" i="1"/>
  <c r="AM15" i="2"/>
  <c r="G10" i="3"/>
  <c r="G25" i="1" s="1"/>
  <c r="Z19" i="3"/>
  <c r="AA19" i="3"/>
  <c r="Z18" i="3"/>
  <c r="AA18" i="3"/>
  <c r="Z17" i="3"/>
  <c r="AA17" i="3"/>
  <c r="Z16" i="3"/>
  <c r="AA16" i="3"/>
  <c r="Z15" i="3"/>
  <c r="AA15" i="3"/>
  <c r="Z14" i="3"/>
  <c r="AA14" i="3"/>
  <c r="AE19" i="3"/>
  <c r="AE18" i="3"/>
  <c r="AE17" i="3"/>
  <c r="AE16" i="3"/>
  <c r="AE15" i="3"/>
  <c r="AF14" i="3"/>
  <c r="AE14" i="3"/>
  <c r="AH4" i="2"/>
  <c r="AG4" i="2"/>
  <c r="G9" i="4" l="1"/>
  <c r="K9" i="4" s="1"/>
  <c r="Q32" i="1"/>
  <c r="G10" i="4"/>
  <c r="G6" i="4"/>
  <c r="G4" i="4"/>
  <c r="E37" i="1"/>
  <c r="K37" i="1" s="1"/>
  <c r="AA20" i="3"/>
  <c r="I33" i="1" s="1"/>
  <c r="AF20" i="3"/>
  <c r="I35" i="1" s="1"/>
  <c r="L37" i="1" l="1"/>
  <c r="Q36" i="1"/>
  <c r="G15" i="4"/>
  <c r="K15" i="4" s="1"/>
  <c r="Q34" i="1"/>
  <c r="G13" i="4"/>
  <c r="Q37" i="1"/>
  <c r="S37" i="1"/>
  <c r="S35" i="1"/>
  <c r="S33" i="1"/>
  <c r="S31" i="1"/>
  <c r="S29" i="1"/>
  <c r="S27" i="1"/>
  <c r="S25" i="1"/>
  <c r="K7" i="2"/>
  <c r="K8" i="2"/>
  <c r="K9" i="2"/>
  <c r="K10" i="2"/>
  <c r="K11" i="2"/>
  <c r="K12" i="2"/>
  <c r="K13" i="2"/>
  <c r="K14" i="2"/>
  <c r="K5" i="2"/>
  <c r="V6" i="2"/>
  <c r="J7" i="2"/>
  <c r="V7" i="2" s="1"/>
  <c r="J8" i="2"/>
  <c r="V8" i="2" s="1"/>
  <c r="J9" i="2"/>
  <c r="V9" i="2" s="1"/>
  <c r="J10" i="2"/>
  <c r="V10" i="2" s="1"/>
  <c r="J11" i="2"/>
  <c r="V11" i="2" s="1"/>
  <c r="J12" i="2"/>
  <c r="V12" i="2" s="1"/>
  <c r="J13" i="2"/>
  <c r="V13" i="2" s="1"/>
  <c r="V14" i="2"/>
  <c r="J5" i="2"/>
  <c r="V5" i="2" s="1"/>
  <c r="M37" i="1" l="1"/>
  <c r="N37" i="1" s="1"/>
  <c r="AE16" i="4" s="1"/>
  <c r="C16" i="4"/>
  <c r="K13" i="4"/>
  <c r="R13" i="2"/>
  <c r="S13" i="2"/>
  <c r="R10" i="2"/>
  <c r="S10" i="2"/>
  <c r="R12" i="2"/>
  <c r="S12" i="2"/>
  <c r="R8" i="2"/>
  <c r="S8" i="2"/>
  <c r="R14" i="2"/>
  <c r="S14" i="2"/>
  <c r="R9" i="2"/>
  <c r="S9" i="2"/>
  <c r="R11" i="2"/>
  <c r="S11" i="2"/>
  <c r="R7" i="2"/>
  <c r="S7" i="2"/>
  <c r="R6" i="2"/>
  <c r="S6" i="2"/>
  <c r="R5" i="2"/>
  <c r="S5" i="2"/>
  <c r="L10" i="2"/>
  <c r="H10" i="2" s="1"/>
  <c r="Q10" i="2" s="1"/>
  <c r="N10" i="2" s="1"/>
  <c r="L7" i="2"/>
  <c r="L14" i="2"/>
  <c r="L8" i="2"/>
  <c r="L13" i="2"/>
  <c r="L5" i="2"/>
  <c r="H5" i="2" s="1"/>
  <c r="Q5" i="2" s="1"/>
  <c r="M5" i="2" s="1"/>
  <c r="H6" i="2"/>
  <c r="Q6" i="2" s="1"/>
  <c r="L11" i="2"/>
  <c r="L9" i="2"/>
  <c r="L12" i="2"/>
  <c r="K16" i="4" l="1"/>
  <c r="V16" i="4"/>
  <c r="H89" i="4"/>
  <c r="H101" i="4"/>
  <c r="O16" i="4"/>
  <c r="P16" i="4"/>
  <c r="H77" i="4"/>
  <c r="AI16" i="4"/>
  <c r="M10" i="2"/>
  <c r="M6" i="2"/>
  <c r="N5" i="2"/>
  <c r="H14" i="2"/>
  <c r="Q14" i="2" s="1"/>
  <c r="N14" i="2" s="1"/>
  <c r="I7" i="2"/>
  <c r="AK7" i="2" s="1"/>
  <c r="I5" i="2"/>
  <c r="AK5" i="2" s="1"/>
  <c r="I8" i="2"/>
  <c r="AK8" i="2" s="1"/>
  <c r="N6" i="2"/>
  <c r="AK6" i="2"/>
  <c r="H7" i="2"/>
  <c r="Q7" i="2" s="1"/>
  <c r="N7" i="2" s="1"/>
  <c r="I9" i="2"/>
  <c r="AK9" i="2" s="1"/>
  <c r="I10" i="2"/>
  <c r="AK10" i="2" s="1"/>
  <c r="H8" i="2"/>
  <c r="Q8" i="2" s="1"/>
  <c r="N8" i="2" s="1"/>
  <c r="I14" i="2"/>
  <c r="H9" i="2"/>
  <c r="Q9" i="2" s="1"/>
  <c r="N9" i="2" s="1"/>
  <c r="H11" i="2"/>
  <c r="Q11" i="2" s="1"/>
  <c r="N11" i="2" s="1"/>
  <c r="I11" i="2"/>
  <c r="AK11" i="2" s="1"/>
  <c r="H13" i="2"/>
  <c r="Q13" i="2" s="1"/>
  <c r="N13" i="2" s="1"/>
  <c r="I13" i="2"/>
  <c r="AK13" i="2" s="1"/>
  <c r="H12" i="2"/>
  <c r="Q12" i="2" s="1"/>
  <c r="N12" i="2" s="1"/>
  <c r="I12" i="2"/>
  <c r="AK12" i="2" s="1"/>
  <c r="AH12" i="2" s="1"/>
  <c r="H4" i="2"/>
  <c r="Q4" i="2" s="1"/>
  <c r="AA16" i="4" l="1"/>
  <c r="Z16" i="4"/>
  <c r="AG13" i="2"/>
  <c r="AH13" i="2"/>
  <c r="AG12" i="2"/>
  <c r="AG11" i="2"/>
  <c r="AH11" i="2"/>
  <c r="AG10" i="2"/>
  <c r="AH10" i="2"/>
  <c r="AH9" i="2"/>
  <c r="AG9" i="2"/>
  <c r="AG8" i="2"/>
  <c r="AH8" i="2"/>
  <c r="AH7" i="2"/>
  <c r="AG7" i="2"/>
  <c r="AG6" i="2"/>
  <c r="AH6" i="2"/>
  <c r="AG5" i="2"/>
  <c r="AH5" i="2"/>
  <c r="AF14" i="2"/>
  <c r="AB14" i="2" s="1"/>
  <c r="AK14" i="2"/>
  <c r="AF6" i="2"/>
  <c r="AA13" i="2"/>
  <c r="X13" i="2" s="1"/>
  <c r="AF13" i="2"/>
  <c r="AA10" i="2"/>
  <c r="X10" i="2" s="1"/>
  <c r="AF10" i="2"/>
  <c r="AA8" i="2"/>
  <c r="W8" i="2" s="1"/>
  <c r="AF8" i="2"/>
  <c r="AA5" i="2"/>
  <c r="X5" i="2" s="1"/>
  <c r="AF5" i="2"/>
  <c r="AF7" i="2"/>
  <c r="AA12" i="2"/>
  <c r="W12" i="2" s="1"/>
  <c r="AF12" i="2"/>
  <c r="AC12" i="2" s="1"/>
  <c r="AA11" i="2"/>
  <c r="X11" i="2" s="1"/>
  <c r="AF11" i="2"/>
  <c r="AF9" i="2"/>
  <c r="AA9" i="2"/>
  <c r="AA14" i="2"/>
  <c r="AA6" i="2"/>
  <c r="AA7" i="2"/>
  <c r="M9" i="2"/>
  <c r="N4" i="2"/>
  <c r="AF4" i="2" s="1"/>
  <c r="M4" i="2"/>
  <c r="M7" i="2"/>
  <c r="M14" i="2"/>
  <c r="M13" i="2"/>
  <c r="M12" i="2"/>
  <c r="M11" i="2"/>
  <c r="M8" i="2"/>
  <c r="I15" i="2"/>
  <c r="E25" i="1" s="1"/>
  <c r="W11" i="2" l="1"/>
  <c r="Q25" i="1"/>
  <c r="AC14" i="2"/>
  <c r="W13" i="2"/>
  <c r="X8" i="2"/>
  <c r="AG14" i="2"/>
  <c r="AH14" i="2"/>
  <c r="AH15" i="2" s="1"/>
  <c r="E35" i="1" s="1"/>
  <c r="X12" i="2"/>
  <c r="AC13" i="2"/>
  <c r="AB13" i="2"/>
  <c r="AB12" i="2"/>
  <c r="AC11" i="2"/>
  <c r="AB11" i="2"/>
  <c r="AB10" i="2"/>
  <c r="AC10" i="2"/>
  <c r="AC9" i="2"/>
  <c r="AB9" i="2"/>
  <c r="AB8" i="2"/>
  <c r="AC8" i="2"/>
  <c r="AC7" i="2"/>
  <c r="AB7" i="2"/>
  <c r="AB6" i="2"/>
  <c r="AC6" i="2"/>
  <c r="AB5" i="2"/>
  <c r="AC5" i="2"/>
  <c r="AC4" i="2"/>
  <c r="AB4" i="2"/>
  <c r="W5" i="2"/>
  <c r="W10" i="2"/>
  <c r="W14" i="2"/>
  <c r="X14" i="2"/>
  <c r="W9" i="2"/>
  <c r="X9" i="2"/>
  <c r="X7" i="2"/>
  <c r="W7" i="2"/>
  <c r="W6" i="2"/>
  <c r="X6" i="2"/>
  <c r="N15" i="2"/>
  <c r="E27" i="1" s="1"/>
  <c r="S15" i="2"/>
  <c r="E29" i="1" s="1"/>
  <c r="Q27" i="1" l="1"/>
  <c r="K35" i="1"/>
  <c r="L35" i="1" s="1"/>
  <c r="Q35" i="1"/>
  <c r="Q29" i="1"/>
  <c r="K29" i="1" s="1"/>
  <c r="L29" i="1" s="1"/>
  <c r="AC15" i="2"/>
  <c r="E33" i="1" s="1"/>
  <c r="W4" i="2"/>
  <c r="X4" i="2"/>
  <c r="X15" i="2" s="1"/>
  <c r="E31" i="1" s="1"/>
  <c r="M35" i="1" l="1"/>
  <c r="N35" i="1" s="1"/>
  <c r="AE14" i="4" s="1"/>
  <c r="C14" i="4"/>
  <c r="M29" i="1"/>
  <c r="N29" i="1" s="1"/>
  <c r="AE8" i="4" s="1"/>
  <c r="H97" i="4" s="1"/>
  <c r="C8" i="4"/>
  <c r="Q33" i="1"/>
  <c r="K33" i="1"/>
  <c r="L33" i="1" s="1"/>
  <c r="C12" i="4" s="1"/>
  <c r="P12" i="4" s="1"/>
  <c r="Q31" i="1"/>
  <c r="K31" i="1"/>
  <c r="L31" i="1" s="1"/>
  <c r="P8" i="4" l="1"/>
  <c r="V8" i="4"/>
  <c r="H88" i="4"/>
  <c r="H76" i="4"/>
  <c r="H85" i="4"/>
  <c r="H73" i="4"/>
  <c r="K8" i="4"/>
  <c r="K12" i="4"/>
  <c r="O12" i="4"/>
  <c r="K14" i="4"/>
  <c r="P14" i="4"/>
  <c r="O14" i="4"/>
  <c r="M31" i="1"/>
  <c r="N31" i="1" s="1"/>
  <c r="AE10" i="4" s="1"/>
  <c r="C10" i="4"/>
  <c r="O8" i="4"/>
  <c r="AI8" i="4"/>
  <c r="AI14" i="4"/>
  <c r="M33" i="1"/>
  <c r="N33" i="1" s="1"/>
  <c r="AE12" i="4" s="1"/>
  <c r="AA8" i="4" l="1"/>
  <c r="Z8" i="4"/>
  <c r="H87" i="4"/>
  <c r="H75" i="4"/>
  <c r="H74" i="4"/>
  <c r="H86" i="4"/>
  <c r="AI10" i="4"/>
  <c r="AI12" i="4"/>
  <c r="P10" i="4"/>
  <c r="K10" i="4"/>
  <c r="O10" i="4"/>
  <c r="O14" i="3"/>
  <c r="K14" i="3" l="1"/>
  <c r="G20" i="3" s="1"/>
  <c r="I25" i="1" s="1"/>
  <c r="L14" i="3"/>
  <c r="L20" i="3" s="1"/>
  <c r="I27" i="1" s="1"/>
  <c r="G7" i="4" l="1"/>
  <c r="K7" i="4" s="1"/>
  <c r="G5" i="4"/>
  <c r="Q28" i="1"/>
  <c r="K27" i="1"/>
  <c r="L27" i="1" s="1"/>
  <c r="M27" i="1" s="1"/>
  <c r="Q26" i="1"/>
  <c r="K25" i="1" l="1"/>
  <c r="L25" i="1" s="1"/>
  <c r="N27" i="1"/>
  <c r="AE6" i="4" s="1"/>
  <c r="H96" i="4" s="1"/>
  <c r="C6" i="4"/>
  <c r="K5" i="4"/>
  <c r="G18" i="4"/>
  <c r="C4" i="4" l="1"/>
  <c r="M25" i="1"/>
  <c r="N25" i="1" s="1"/>
  <c r="AE4" i="4" s="1"/>
  <c r="AI4" i="4" s="1"/>
  <c r="K6" i="4"/>
  <c r="V6" i="4"/>
  <c r="P6" i="4"/>
  <c r="AI6" i="4"/>
  <c r="H72" i="4"/>
  <c r="H84" i="4"/>
  <c r="O6" i="4"/>
  <c r="O4" i="4" l="1"/>
  <c r="V4" i="4"/>
  <c r="AA4" i="4" s="1"/>
  <c r="C18" i="4"/>
  <c r="C37" i="4"/>
  <c r="M37" i="4" s="1"/>
  <c r="C49" i="4" s="1"/>
  <c r="K4" i="4"/>
  <c r="P4" i="4"/>
  <c r="Z6" i="4"/>
  <c r="AA6" i="4"/>
  <c r="H95" i="4"/>
  <c r="H83" i="4"/>
  <c r="H71" i="4"/>
  <c r="K18" i="4" l="1"/>
  <c r="A23" i="4" s="1"/>
  <c r="I26" i="4"/>
  <c r="T37" i="4"/>
  <c r="AD37" i="4" s="1"/>
  <c r="T49" i="4" s="1"/>
  <c r="T23" i="4" l="1"/>
  <c r="AC23" i="4" s="1"/>
  <c r="T26" i="4"/>
  <c r="AC26" i="4" s="1"/>
  <c r="T29" i="4"/>
  <c r="AC29" i="4" s="1"/>
  <c r="K77" i="4"/>
  <c r="R77" i="4" s="1"/>
  <c r="C61" i="1" s="1"/>
  <c r="Z4" i="4"/>
  <c r="AI5" i="4"/>
  <c r="V18" i="4"/>
  <c r="M32" i="4" l="1"/>
  <c r="H40" i="4" s="1"/>
  <c r="K72" i="4" s="1"/>
  <c r="R62" i="1"/>
  <c r="K101" i="4"/>
  <c r="N101" i="4" s="1"/>
  <c r="W101" i="4" s="1"/>
  <c r="Z101" i="4" s="1"/>
  <c r="E61" i="1" s="1"/>
  <c r="T62" i="1" s="1"/>
  <c r="N75" i="4"/>
  <c r="N72" i="4"/>
  <c r="N99" i="4"/>
  <c r="W99" i="4" s="1"/>
  <c r="N100" i="4"/>
  <c r="W100" i="4" s="1"/>
  <c r="N98" i="4"/>
  <c r="W98" i="4" s="1"/>
  <c r="Z18" i="4"/>
  <c r="AK37" i="4" s="1"/>
  <c r="AU37" i="4" s="1"/>
  <c r="AK49" i="4" s="1"/>
  <c r="K76" i="4" l="1"/>
  <c r="R76" i="4" s="1"/>
  <c r="C60" i="1" s="1"/>
  <c r="R61" i="1" s="1"/>
  <c r="K75" i="4"/>
  <c r="R75" i="4" s="1"/>
  <c r="K74" i="4"/>
  <c r="N74" i="4" s="1"/>
  <c r="K73" i="4"/>
  <c r="K71" i="4"/>
  <c r="Y46" i="4"/>
  <c r="AD46" i="4" s="1"/>
  <c r="AD49" i="4" s="1"/>
  <c r="AP46" i="4"/>
  <c r="H46" i="4"/>
  <c r="X70" i="4" s="1"/>
  <c r="X74" i="4" s="1"/>
  <c r="F58" i="1" s="1"/>
  <c r="H43" i="4"/>
  <c r="M43" i="4" s="1"/>
  <c r="M40" i="4"/>
  <c r="R72" i="4"/>
  <c r="C56" i="1" s="1"/>
  <c r="R57" i="1" s="1"/>
  <c r="Y40" i="4"/>
  <c r="K89" i="4" s="1"/>
  <c r="R89" i="4" s="1"/>
  <c r="AA89" i="4" s="1"/>
  <c r="AD89" i="4" s="1"/>
  <c r="AP40" i="4"/>
  <c r="K95" i="4" s="1"/>
  <c r="N95" i="4" s="1"/>
  <c r="W95" i="4" s="1"/>
  <c r="Z95" i="4" s="1"/>
  <c r="E55" i="1" s="1"/>
  <c r="T56" i="1" s="1"/>
  <c r="X77" i="4"/>
  <c r="F61" i="1" s="1"/>
  <c r="K88" i="4"/>
  <c r="R88" i="4" s="1"/>
  <c r="AA88" i="4" s="1"/>
  <c r="AD88" i="4" s="1"/>
  <c r="D60" i="1" s="1"/>
  <c r="Z100" i="4"/>
  <c r="E60" i="1" s="1"/>
  <c r="T61" i="1" s="1"/>
  <c r="Z99" i="4"/>
  <c r="E59" i="1" s="1"/>
  <c r="T60" i="1" s="1"/>
  <c r="Z98" i="4"/>
  <c r="E58" i="1" s="1"/>
  <c r="T59" i="1" s="1"/>
  <c r="N86" i="4"/>
  <c r="N84" i="4"/>
  <c r="N71" i="4" l="1"/>
  <c r="R71" i="4" s="1"/>
  <c r="C55" i="1" s="1"/>
  <c r="R56" i="1" s="1"/>
  <c r="K97" i="4"/>
  <c r="N97" i="4" s="1"/>
  <c r="W97" i="4" s="1"/>
  <c r="Z97" i="4" s="1"/>
  <c r="E57" i="1" s="1"/>
  <c r="T58" i="1" s="1"/>
  <c r="N73" i="4"/>
  <c r="R73" i="4" s="1"/>
  <c r="C57" i="1" s="1"/>
  <c r="R58" i="1" s="1"/>
  <c r="R74" i="4"/>
  <c r="AA74" i="4" s="1"/>
  <c r="AD74" i="4" s="1"/>
  <c r="X75" i="4"/>
  <c r="F59" i="1" s="1"/>
  <c r="X76" i="4"/>
  <c r="F60" i="1" s="1"/>
  <c r="K84" i="4"/>
  <c r="R84" i="4" s="1"/>
  <c r="AA84" i="4" s="1"/>
  <c r="AD84" i="4" s="1"/>
  <c r="K87" i="4"/>
  <c r="N87" i="4" s="1"/>
  <c r="R87" i="4" s="1"/>
  <c r="AA87" i="4" s="1"/>
  <c r="AD87" i="4" s="1"/>
  <c r="D59" i="1" s="1"/>
  <c r="S60" i="1" s="1"/>
  <c r="K86" i="4"/>
  <c r="R86" i="4" s="1"/>
  <c r="AA86" i="4" s="1"/>
  <c r="AD86" i="4" s="1"/>
  <c r="D58" i="1" s="1"/>
  <c r="X73" i="4"/>
  <c r="F57" i="1" s="1"/>
  <c r="X72" i="4"/>
  <c r="F56" i="1" s="1"/>
  <c r="K85" i="4"/>
  <c r="N85" i="4" s="1"/>
  <c r="H49" i="4"/>
  <c r="K96" i="4"/>
  <c r="N96" i="4" s="1"/>
  <c r="W96" i="4" s="1"/>
  <c r="W102" i="4" s="1"/>
  <c r="M46" i="4"/>
  <c r="M49" i="4" s="1"/>
  <c r="X71" i="4"/>
  <c r="F55" i="1" s="1"/>
  <c r="K83" i="4"/>
  <c r="D61" i="1"/>
  <c r="S62" i="1" s="1"/>
  <c r="G61" i="1" s="1"/>
  <c r="AU40" i="4"/>
  <c r="AP49" i="4" s="1"/>
  <c r="AP52" i="4" s="1"/>
  <c r="AU52" i="4" s="1"/>
  <c r="C59" i="1"/>
  <c r="R60" i="1" s="1"/>
  <c r="Y43" i="4"/>
  <c r="AD43" i="4" s="1"/>
  <c r="AD40" i="4"/>
  <c r="AA77" i="4"/>
  <c r="AD77" i="4" s="1"/>
  <c r="S61" i="1"/>
  <c r="N83" i="4" l="1"/>
  <c r="R83" i="4" s="1"/>
  <c r="AA83" i="4" s="1"/>
  <c r="AD83" i="4" s="1"/>
  <c r="C58" i="1"/>
  <c r="R59" i="1" s="1"/>
  <c r="C63" i="1" s="1"/>
  <c r="C65" i="1" s="1"/>
  <c r="AA75" i="4"/>
  <c r="AD75" i="4" s="1"/>
  <c r="Z96" i="4"/>
  <c r="E56" i="1" s="1"/>
  <c r="T57" i="1" s="1"/>
  <c r="E63" i="1" s="1"/>
  <c r="E65" i="1" s="1"/>
  <c r="F63" i="1"/>
  <c r="G60" i="1"/>
  <c r="AA72" i="4"/>
  <c r="AD72" i="4" s="1"/>
  <c r="H52" i="4"/>
  <c r="M52" i="4" s="1"/>
  <c r="AA76" i="4"/>
  <c r="AD76" i="4" s="1"/>
  <c r="AA73" i="4"/>
  <c r="AD73" i="4" s="1"/>
  <c r="R85" i="4"/>
  <c r="AA85" i="4" s="1"/>
  <c r="AD85" i="4" s="1"/>
  <c r="D57" i="1" s="1"/>
  <c r="S58" i="1" s="1"/>
  <c r="G57" i="1" s="1"/>
  <c r="AA71" i="4"/>
  <c r="AD71" i="4" s="1"/>
  <c r="Y49" i="4"/>
  <c r="Y52" i="4" s="1"/>
  <c r="AD52" i="4" s="1"/>
  <c r="G59" i="1"/>
  <c r="D56" i="1"/>
  <c r="S57" i="1" s="1"/>
  <c r="S59" i="1"/>
  <c r="Z102" i="4" l="1"/>
  <c r="AD96" i="4" s="1"/>
  <c r="G58" i="1"/>
  <c r="G56" i="1"/>
  <c r="AA78" i="4"/>
  <c r="AA90" i="4"/>
  <c r="AD90" i="4"/>
  <c r="AI85" i="4" s="1"/>
  <c r="D55" i="1"/>
  <c r="S56" i="1" s="1"/>
  <c r="G55" i="1" s="1"/>
  <c r="AD78" i="4"/>
  <c r="AI76" i="4" s="1"/>
  <c r="AD95" i="4" l="1"/>
  <c r="AD101" i="4"/>
  <c r="AD97" i="4"/>
  <c r="T104" i="4"/>
  <c r="T105" i="4" s="1"/>
  <c r="T106" i="4" s="1"/>
  <c r="AD99" i="4"/>
  <c r="AD100" i="4"/>
  <c r="AD98" i="4"/>
  <c r="AI84" i="4"/>
  <c r="AI87" i="4"/>
  <c r="AI89" i="4"/>
  <c r="AI83" i="4"/>
  <c r="AI88" i="4"/>
  <c r="AI86" i="4"/>
  <c r="D63" i="1"/>
  <c r="D65" i="1" s="1"/>
  <c r="G65" i="1" s="1"/>
  <c r="H65" i="1" s="1"/>
  <c r="AI77" i="4"/>
  <c r="AI75" i="4"/>
  <c r="AI71" i="4"/>
  <c r="AI73" i="4"/>
  <c r="AI72" i="4"/>
  <c r="AI74" i="4"/>
  <c r="G63" i="1" l="1"/>
  <c r="G52" i="1"/>
  <c r="L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大内章広</author>
  </authors>
  <commentList>
    <comment ref="K25" authorId="0" shapeId="0" xr:uid="{00000000-0006-0000-0000-000001000000}">
      <text>
        <r>
          <rPr>
            <sz val="11"/>
            <color indexed="81"/>
            <rFont val="HGPｺﾞｼｯｸE"/>
            <family val="3"/>
            <charset val="128"/>
          </rPr>
          <t>給与所得、公的年金所得の両方を有する者の所得調整控除額</t>
        </r>
      </text>
    </comment>
    <comment ref="K27" authorId="0" shapeId="0" xr:uid="{00000000-0006-0000-0000-000002000000}">
      <text>
        <r>
          <rPr>
            <sz val="11"/>
            <color indexed="81"/>
            <rFont val="HGPｺﾞｼｯｸE"/>
            <family val="3"/>
            <charset val="128"/>
          </rPr>
          <t>給与所得、公的年金所得の両方を有する者の所得調整控除額</t>
        </r>
      </text>
    </comment>
    <comment ref="K29" authorId="0" shapeId="0" xr:uid="{00000000-0006-0000-0000-000003000000}">
      <text>
        <r>
          <rPr>
            <sz val="11"/>
            <color indexed="81"/>
            <rFont val="HGPｺﾞｼｯｸE"/>
            <family val="3"/>
            <charset val="128"/>
          </rPr>
          <t>給与所得、公的年金所得の両方を有する者の所得調整控除額</t>
        </r>
      </text>
    </comment>
    <comment ref="K31" authorId="0" shapeId="0" xr:uid="{00000000-0006-0000-0000-000004000000}">
      <text>
        <r>
          <rPr>
            <sz val="11"/>
            <color indexed="81"/>
            <rFont val="HGPｺﾞｼｯｸE"/>
            <family val="3"/>
            <charset val="128"/>
          </rPr>
          <t>給与所得、公的年金所得の両方を有する者の所得調整控除額</t>
        </r>
      </text>
    </comment>
    <comment ref="K33" authorId="0" shapeId="0" xr:uid="{00000000-0006-0000-0000-000005000000}">
      <text>
        <r>
          <rPr>
            <sz val="11"/>
            <color indexed="81"/>
            <rFont val="HGPｺﾞｼｯｸE"/>
            <family val="3"/>
            <charset val="128"/>
          </rPr>
          <t>給与所得、公的年金所得の両方を有する者の所得調整控除額</t>
        </r>
      </text>
    </comment>
    <comment ref="K35" authorId="0" shapeId="0" xr:uid="{00000000-0006-0000-0000-000006000000}">
      <text>
        <r>
          <rPr>
            <sz val="11"/>
            <color indexed="81"/>
            <rFont val="HGPｺﾞｼｯｸE"/>
            <family val="3"/>
            <charset val="128"/>
          </rPr>
          <t>給与所得、公的年金所得の両方を有する者の所得調整控除額</t>
        </r>
      </text>
    </comment>
    <comment ref="K37" authorId="0" shapeId="0" xr:uid="{00000000-0006-0000-0000-000007000000}">
      <text>
        <r>
          <rPr>
            <sz val="11"/>
            <color indexed="81"/>
            <rFont val="HGPｺﾞｼｯｸE"/>
            <family val="3"/>
            <charset val="128"/>
          </rPr>
          <t>給与所得、公的年金所得の両方を有する者の所得調整控除額</t>
        </r>
      </text>
    </comment>
    <comment ref="K48" authorId="0" shapeId="0" xr:uid="{00000000-0006-0000-0000-000008000000}">
      <text>
        <r>
          <rPr>
            <sz val="11"/>
            <color indexed="81"/>
            <rFont val="HGPｺﾞｼｯｸE"/>
            <family val="3"/>
            <charset val="128"/>
          </rPr>
          <t>給与所得、公的年金所得の両方を有する者の所得調整控除額</t>
        </r>
      </text>
    </comment>
  </commentList>
</comments>
</file>

<file path=xl/sharedStrings.xml><?xml version="1.0" encoding="utf-8"?>
<sst xmlns="http://schemas.openxmlformats.org/spreadsheetml/2006/main" count="373" uniqueCount="231">
  <si>
    <t>国保に加入する月</t>
    <rPh sb="0" eb="2">
      <t>コクホ</t>
    </rPh>
    <rPh sb="3" eb="5">
      <t>カニュウ</t>
    </rPh>
    <rPh sb="7" eb="8">
      <t>ツキ</t>
    </rPh>
    <phoneticPr fontId="2"/>
  </si>
  <si>
    <t>加入者</t>
    <rPh sb="0" eb="2">
      <t>カニュウ</t>
    </rPh>
    <rPh sb="2" eb="3">
      <t>シャ</t>
    </rPh>
    <phoneticPr fontId="2"/>
  </si>
  <si>
    <t>65歳未満</t>
    <rPh sb="2" eb="3">
      <t>サイ</t>
    </rPh>
    <rPh sb="3" eb="5">
      <t>ミマン</t>
    </rPh>
    <phoneticPr fontId="2"/>
  </si>
  <si>
    <t>65歳以上</t>
    <rPh sb="2" eb="3">
      <t>サイ</t>
    </rPh>
    <rPh sb="3" eb="5">
      <t>イジョウ</t>
    </rPh>
    <phoneticPr fontId="2"/>
  </si>
  <si>
    <t>加入者１</t>
    <rPh sb="0" eb="2">
      <t>カニュウ</t>
    </rPh>
    <rPh sb="2" eb="3">
      <t>シャ</t>
    </rPh>
    <phoneticPr fontId="2"/>
  </si>
  <si>
    <t>加入者２</t>
    <rPh sb="0" eb="2">
      <t>カニュウ</t>
    </rPh>
    <rPh sb="2" eb="3">
      <t>シャ</t>
    </rPh>
    <phoneticPr fontId="2"/>
  </si>
  <si>
    <t>加入者３</t>
    <rPh sb="0" eb="2">
      <t>カニュウ</t>
    </rPh>
    <rPh sb="2" eb="3">
      <t>シャ</t>
    </rPh>
    <phoneticPr fontId="2"/>
  </si>
  <si>
    <t>加入者４</t>
    <rPh sb="0" eb="2">
      <t>カニュウ</t>
    </rPh>
    <rPh sb="2" eb="3">
      <t>シャ</t>
    </rPh>
    <phoneticPr fontId="2"/>
  </si>
  <si>
    <t>加入者５</t>
    <rPh sb="0" eb="2">
      <t>カニュウ</t>
    </rPh>
    <rPh sb="2" eb="3">
      <t>シャ</t>
    </rPh>
    <phoneticPr fontId="2"/>
  </si>
  <si>
    <t>加入者６</t>
    <rPh sb="0" eb="2">
      <t>カニュウ</t>
    </rPh>
    <rPh sb="2" eb="3">
      <t>シャ</t>
    </rPh>
    <phoneticPr fontId="2"/>
  </si>
  <si>
    <t>加入者７</t>
    <rPh sb="0" eb="2">
      <t>カニュウ</t>
    </rPh>
    <rPh sb="2" eb="3">
      <t>シャ</t>
    </rPh>
    <phoneticPr fontId="2"/>
  </si>
  <si>
    <t>合計所得金額</t>
    <rPh sb="0" eb="2">
      <t>ゴウケイ</t>
    </rPh>
    <rPh sb="2" eb="4">
      <t>ショトク</t>
    </rPh>
    <rPh sb="4" eb="6">
      <t>キンガク</t>
    </rPh>
    <phoneticPr fontId="2"/>
  </si>
  <si>
    <t>②給与収入</t>
    <rPh sb="1" eb="3">
      <t>キュウヨ</t>
    </rPh>
    <rPh sb="3" eb="5">
      <t>シュウニュウ</t>
    </rPh>
    <phoneticPr fontId="2"/>
  </si>
  <si>
    <t>③年金収入（※１月１日基準）</t>
    <rPh sb="1" eb="3">
      <t>ネンキン</t>
    </rPh>
    <rPh sb="3" eb="5">
      <t>シュウニュウ</t>
    </rPh>
    <rPh sb="8" eb="9">
      <t>ガツ</t>
    </rPh>
    <rPh sb="10" eb="11">
      <t>ニチ</t>
    </rPh>
    <rPh sb="11" eb="13">
      <t>キジュン</t>
    </rPh>
    <phoneticPr fontId="2"/>
  </si>
  <si>
    <t>国民健康保険税概算算出表</t>
    <rPh sb="0" eb="2">
      <t>コクミン</t>
    </rPh>
    <rPh sb="2" eb="4">
      <t>ケンコウ</t>
    </rPh>
    <rPh sb="4" eb="6">
      <t>ホケン</t>
    </rPh>
    <rPh sb="6" eb="7">
      <t>ゼイ</t>
    </rPh>
    <rPh sb="7" eb="9">
      <t>ガイサン</t>
    </rPh>
    <rPh sb="9" eb="11">
      <t>サンシュツ</t>
    </rPh>
    <rPh sb="11" eb="12">
      <t>ヒョウ</t>
    </rPh>
    <phoneticPr fontId="2"/>
  </si>
  <si>
    <t>国民健康保険加入条件</t>
    <rPh sb="0" eb="2">
      <t>コクミン</t>
    </rPh>
    <rPh sb="2" eb="4">
      <t>ケンコウ</t>
    </rPh>
    <rPh sb="4" eb="6">
      <t>ホケン</t>
    </rPh>
    <rPh sb="6" eb="8">
      <t>カニュウ</t>
    </rPh>
    <rPh sb="8" eb="10">
      <t>ジョウケン</t>
    </rPh>
    <phoneticPr fontId="2"/>
  </si>
  <si>
    <t>・国保に加入する月を選択してください。１年間の試算を行う場合は、４（月）を選択してください。　</t>
    <rPh sb="1" eb="3">
      <t>コクホ</t>
    </rPh>
    <rPh sb="4" eb="6">
      <t>カニュウ</t>
    </rPh>
    <rPh sb="8" eb="9">
      <t>ツキ</t>
    </rPh>
    <rPh sb="10" eb="12">
      <t>センタク</t>
    </rPh>
    <rPh sb="20" eb="22">
      <t>ネンカン</t>
    </rPh>
    <rPh sb="23" eb="25">
      <t>シサン</t>
    </rPh>
    <rPh sb="26" eb="27">
      <t>オコナ</t>
    </rPh>
    <rPh sb="28" eb="30">
      <t>バアイ</t>
    </rPh>
    <rPh sb="34" eb="35">
      <t>ガツ</t>
    </rPh>
    <rPh sb="37" eb="39">
      <t>センタク</t>
    </rPh>
    <phoneticPr fontId="2"/>
  </si>
  <si>
    <t>加入者の年齢及び前年の収入状況</t>
    <rPh sb="0" eb="2">
      <t>カニュウ</t>
    </rPh>
    <rPh sb="2" eb="3">
      <t>シャ</t>
    </rPh>
    <rPh sb="4" eb="6">
      <t>ネンレイ</t>
    </rPh>
    <rPh sb="6" eb="7">
      <t>オヨ</t>
    </rPh>
    <rPh sb="8" eb="10">
      <t>ゼンネン</t>
    </rPh>
    <rPh sb="11" eb="13">
      <t>シュウニュウ</t>
    </rPh>
    <rPh sb="13" eb="15">
      <t>ジョウキョウ</t>
    </rPh>
    <phoneticPr fontId="2"/>
  </si>
  <si>
    <t>②給与収入のある方は、前年分の給与所得の源泉徴収票の「支払金額」欄に記載している金額（複数ある場合は、合計額）を入力してください。</t>
    <rPh sb="1" eb="3">
      <t>キュウヨ</t>
    </rPh>
    <rPh sb="3" eb="5">
      <t>シュウニュウ</t>
    </rPh>
    <rPh sb="8" eb="9">
      <t>カタ</t>
    </rPh>
    <rPh sb="11" eb="13">
      <t>ゼンネン</t>
    </rPh>
    <rPh sb="13" eb="14">
      <t>ブン</t>
    </rPh>
    <rPh sb="15" eb="17">
      <t>キュウヨ</t>
    </rPh>
    <rPh sb="17" eb="19">
      <t>ショトク</t>
    </rPh>
    <rPh sb="20" eb="22">
      <t>ゲンセン</t>
    </rPh>
    <rPh sb="22" eb="24">
      <t>チョウシュウ</t>
    </rPh>
    <rPh sb="24" eb="25">
      <t>ヒョウ</t>
    </rPh>
    <rPh sb="27" eb="29">
      <t>シハライ</t>
    </rPh>
    <rPh sb="29" eb="31">
      <t>キンガク</t>
    </rPh>
    <rPh sb="32" eb="33">
      <t>ラン</t>
    </rPh>
    <rPh sb="34" eb="36">
      <t>キサイ</t>
    </rPh>
    <rPh sb="40" eb="42">
      <t>キンガク</t>
    </rPh>
    <rPh sb="43" eb="45">
      <t>フクスウ</t>
    </rPh>
    <rPh sb="47" eb="49">
      <t>バアイ</t>
    </rPh>
    <rPh sb="51" eb="53">
      <t>ゴウケイ</t>
    </rPh>
    <rPh sb="53" eb="54">
      <t>ガク</t>
    </rPh>
    <rPh sb="56" eb="58">
      <t>ニュウリョク</t>
    </rPh>
    <phoneticPr fontId="2"/>
  </si>
  <si>
    <t>③公的年収入のある方は、前年分の公的年金等の源泉徴収票の「支払金額」欄に記載している金額（複数ある場合は、合計額）を入力してください。</t>
    <rPh sb="1" eb="3">
      <t>コウテキ</t>
    </rPh>
    <rPh sb="3" eb="4">
      <t>ネン</t>
    </rPh>
    <rPh sb="4" eb="6">
      <t>シュウニュウ</t>
    </rPh>
    <rPh sb="9" eb="10">
      <t>カタ</t>
    </rPh>
    <rPh sb="12" eb="14">
      <t>ゼンネン</t>
    </rPh>
    <rPh sb="14" eb="15">
      <t>ブン</t>
    </rPh>
    <rPh sb="16" eb="18">
      <t>コウテキ</t>
    </rPh>
    <rPh sb="18" eb="20">
      <t>ネンキン</t>
    </rPh>
    <rPh sb="20" eb="21">
      <t>トウ</t>
    </rPh>
    <phoneticPr fontId="2"/>
  </si>
  <si>
    <t>※公的年金収入は、該当年１月１日時点の年齢（65歳未満・65歳以上）によって、公的年金控除額が変わりますので、正しい欄に入力してください。</t>
    <rPh sb="1" eb="3">
      <t>コウテキ</t>
    </rPh>
    <rPh sb="3" eb="5">
      <t>ネンキン</t>
    </rPh>
    <rPh sb="5" eb="7">
      <t>シュウニュウ</t>
    </rPh>
    <rPh sb="9" eb="11">
      <t>ガイトウ</t>
    </rPh>
    <rPh sb="11" eb="12">
      <t>ネン</t>
    </rPh>
    <rPh sb="13" eb="14">
      <t>ガツ</t>
    </rPh>
    <rPh sb="15" eb="16">
      <t>ニチ</t>
    </rPh>
    <rPh sb="16" eb="18">
      <t>ジテン</t>
    </rPh>
    <rPh sb="19" eb="21">
      <t>ネンレイ</t>
    </rPh>
    <rPh sb="24" eb="25">
      <t>サイ</t>
    </rPh>
    <rPh sb="25" eb="27">
      <t>ミマン</t>
    </rPh>
    <rPh sb="30" eb="31">
      <t>サイ</t>
    </rPh>
    <rPh sb="31" eb="33">
      <t>イジョウ</t>
    </rPh>
    <rPh sb="39" eb="41">
      <t>コウテキ</t>
    </rPh>
    <rPh sb="41" eb="43">
      <t>ネンキン</t>
    </rPh>
    <rPh sb="43" eb="45">
      <t>コウジョ</t>
    </rPh>
    <rPh sb="45" eb="46">
      <t>ガク</t>
    </rPh>
    <rPh sb="47" eb="48">
      <t>カ</t>
    </rPh>
    <rPh sb="55" eb="56">
      <t>タダ</t>
    </rPh>
    <rPh sb="58" eb="59">
      <t>ラン</t>
    </rPh>
    <rPh sb="60" eb="62">
      <t>ニュウリョク</t>
    </rPh>
    <phoneticPr fontId="2"/>
  </si>
  <si>
    <t>課税総所得金額</t>
    <rPh sb="0" eb="2">
      <t>カゼイ</t>
    </rPh>
    <rPh sb="2" eb="3">
      <t>ソウ</t>
    </rPh>
    <rPh sb="3" eb="5">
      <t>ショトク</t>
    </rPh>
    <rPh sb="5" eb="7">
      <t>キンガク</t>
    </rPh>
    <phoneticPr fontId="2"/>
  </si>
  <si>
    <t>基礎控除額</t>
    <rPh sb="0" eb="2">
      <t>キソ</t>
    </rPh>
    <rPh sb="2" eb="4">
      <t>コウジョ</t>
    </rPh>
    <rPh sb="4" eb="5">
      <t>ガク</t>
    </rPh>
    <phoneticPr fontId="2"/>
  </si>
  <si>
    <t>給与所得計算テーブル</t>
    <rPh sb="0" eb="2">
      <t>キュウヨ</t>
    </rPh>
    <rPh sb="2" eb="4">
      <t>ショトク</t>
    </rPh>
    <rPh sb="4" eb="6">
      <t>ケイサン</t>
    </rPh>
    <phoneticPr fontId="4"/>
  </si>
  <si>
    <t>給与収入範囲</t>
    <rPh sb="0" eb="2">
      <t>キュウヨ</t>
    </rPh>
    <rPh sb="2" eb="4">
      <t>シュウニュウ</t>
    </rPh>
    <rPh sb="4" eb="6">
      <t>ハンイ</t>
    </rPh>
    <phoneticPr fontId="4"/>
  </si>
  <si>
    <t>～</t>
    <phoneticPr fontId="4"/>
  </si>
  <si>
    <t>～</t>
    <phoneticPr fontId="4"/>
  </si>
  <si>
    <t>年金所得計算テーブル</t>
    <rPh sb="0" eb="2">
      <t>ネンキン</t>
    </rPh>
    <rPh sb="2" eb="4">
      <t>ショトク</t>
    </rPh>
    <rPh sb="4" eb="6">
      <t>ケイサン</t>
    </rPh>
    <phoneticPr fontId="4"/>
  </si>
  <si>
    <t>年金収入範囲</t>
    <rPh sb="0" eb="2">
      <t>ネンキン</t>
    </rPh>
    <rPh sb="2" eb="4">
      <t>シュウニュウ</t>
    </rPh>
    <rPh sb="4" eb="6">
      <t>ハンイ</t>
    </rPh>
    <phoneticPr fontId="4"/>
  </si>
  <si>
    <t>65歳未満</t>
    <rPh sb="2" eb="5">
      <t>サイミマン</t>
    </rPh>
    <phoneticPr fontId="4"/>
  </si>
  <si>
    <t>(年金所得算出用)</t>
    <rPh sb="1" eb="3">
      <t>ネンキン</t>
    </rPh>
    <rPh sb="3" eb="5">
      <t>ショトク</t>
    </rPh>
    <rPh sb="5" eb="7">
      <t>サンシュツ</t>
    </rPh>
    <rPh sb="7" eb="8">
      <t>ヨウ</t>
    </rPh>
    <phoneticPr fontId="4"/>
  </si>
  <si>
    <t>65歳以上</t>
    <rPh sb="2" eb="5">
      <t>サイイジョウ</t>
    </rPh>
    <phoneticPr fontId="4"/>
  </si>
  <si>
    <t>所得</t>
    <rPh sb="0" eb="2">
      <t>ショトク</t>
    </rPh>
    <phoneticPr fontId="2"/>
  </si>
  <si>
    <t>(給与所得算出用)</t>
  </si>
  <si>
    <t>加入者1</t>
    <rPh sb="0" eb="2">
      <t>カニュウ</t>
    </rPh>
    <rPh sb="2" eb="3">
      <t>シャ</t>
    </rPh>
    <phoneticPr fontId="2"/>
  </si>
  <si>
    <t>加入者2</t>
    <rPh sb="0" eb="2">
      <t>カニュウ</t>
    </rPh>
    <rPh sb="2" eb="3">
      <t>シャ</t>
    </rPh>
    <phoneticPr fontId="2"/>
  </si>
  <si>
    <t>加入者3</t>
    <rPh sb="0" eb="2">
      <t>カニュウ</t>
    </rPh>
    <rPh sb="2" eb="3">
      <t>シャ</t>
    </rPh>
    <phoneticPr fontId="2"/>
  </si>
  <si>
    <t>加入者4</t>
    <rPh sb="0" eb="2">
      <t>カニュウ</t>
    </rPh>
    <rPh sb="2" eb="3">
      <t>シャ</t>
    </rPh>
    <phoneticPr fontId="2"/>
  </si>
  <si>
    <t>加入者5</t>
    <rPh sb="0" eb="2">
      <t>カニュウ</t>
    </rPh>
    <rPh sb="2" eb="3">
      <t>シャ</t>
    </rPh>
    <phoneticPr fontId="2"/>
  </si>
  <si>
    <t>加入者6</t>
    <rPh sb="0" eb="2">
      <t>カニュウ</t>
    </rPh>
    <rPh sb="2" eb="3">
      <t>シャ</t>
    </rPh>
    <phoneticPr fontId="2"/>
  </si>
  <si>
    <t>加入者7</t>
    <rPh sb="0" eb="2">
      <t>カニュウ</t>
    </rPh>
    <rPh sb="2" eb="3">
      <t>シャ</t>
    </rPh>
    <phoneticPr fontId="2"/>
  </si>
  <si>
    <t>給与所得1</t>
    <rPh sb="0" eb="2">
      <t>キュウヨ</t>
    </rPh>
    <rPh sb="2" eb="4">
      <t>ショトク</t>
    </rPh>
    <phoneticPr fontId="4"/>
  </si>
  <si>
    <t>給与所得2</t>
    <rPh sb="0" eb="2">
      <t>キュウヨ</t>
    </rPh>
    <rPh sb="2" eb="4">
      <t>ショトク</t>
    </rPh>
    <phoneticPr fontId="4"/>
  </si>
  <si>
    <t>給与所得3</t>
    <rPh sb="0" eb="2">
      <t>キュウヨ</t>
    </rPh>
    <rPh sb="2" eb="4">
      <t>ショトク</t>
    </rPh>
    <phoneticPr fontId="4"/>
  </si>
  <si>
    <t>給与所得4</t>
    <rPh sb="0" eb="2">
      <t>キュウヨ</t>
    </rPh>
    <rPh sb="2" eb="4">
      <t>ショトク</t>
    </rPh>
    <phoneticPr fontId="4"/>
  </si>
  <si>
    <t>給与所得5</t>
    <rPh sb="0" eb="2">
      <t>キュウヨ</t>
    </rPh>
    <rPh sb="2" eb="4">
      <t>ショトク</t>
    </rPh>
    <phoneticPr fontId="4"/>
  </si>
  <si>
    <t>給与所得6</t>
    <rPh sb="0" eb="2">
      <t>キュウヨ</t>
    </rPh>
    <rPh sb="2" eb="4">
      <t>ショトク</t>
    </rPh>
    <phoneticPr fontId="4"/>
  </si>
  <si>
    <t>給与所得7</t>
    <rPh sb="0" eb="2">
      <t>キュウヨ</t>
    </rPh>
    <rPh sb="2" eb="4">
      <t>ショトク</t>
    </rPh>
    <phoneticPr fontId="4"/>
  </si>
  <si>
    <t>加入者1</t>
    <rPh sb="0" eb="2">
      <t>カニュウ</t>
    </rPh>
    <rPh sb="2" eb="3">
      <t>シャ</t>
    </rPh>
    <phoneticPr fontId="2"/>
  </si>
  <si>
    <t>年金所得1</t>
    <rPh sb="0" eb="2">
      <t>ネンキン</t>
    </rPh>
    <rPh sb="2" eb="4">
      <t>ショトク</t>
    </rPh>
    <phoneticPr fontId="4"/>
  </si>
  <si>
    <t>年金所得2</t>
    <rPh sb="0" eb="2">
      <t>ネンキン</t>
    </rPh>
    <rPh sb="2" eb="4">
      <t>ショトク</t>
    </rPh>
    <phoneticPr fontId="4"/>
  </si>
  <si>
    <t>加入者2</t>
    <rPh sb="0" eb="2">
      <t>カニュウ</t>
    </rPh>
    <rPh sb="2" eb="3">
      <t>シャ</t>
    </rPh>
    <phoneticPr fontId="2"/>
  </si>
  <si>
    <t>年金所得3</t>
    <rPh sb="0" eb="2">
      <t>ネンキン</t>
    </rPh>
    <rPh sb="2" eb="4">
      <t>ショトク</t>
    </rPh>
    <phoneticPr fontId="4"/>
  </si>
  <si>
    <t>加入者3</t>
    <rPh sb="0" eb="2">
      <t>カニュウ</t>
    </rPh>
    <rPh sb="2" eb="3">
      <t>シャ</t>
    </rPh>
    <phoneticPr fontId="2"/>
  </si>
  <si>
    <t>年金所得4</t>
    <rPh sb="0" eb="2">
      <t>ネンキン</t>
    </rPh>
    <rPh sb="2" eb="4">
      <t>ショトク</t>
    </rPh>
    <phoneticPr fontId="4"/>
  </si>
  <si>
    <t>加入者4</t>
    <rPh sb="0" eb="2">
      <t>カニュウ</t>
    </rPh>
    <rPh sb="2" eb="3">
      <t>シャ</t>
    </rPh>
    <phoneticPr fontId="2"/>
  </si>
  <si>
    <t>年金所得5</t>
    <rPh sb="0" eb="2">
      <t>ネンキン</t>
    </rPh>
    <rPh sb="2" eb="4">
      <t>ショトク</t>
    </rPh>
    <phoneticPr fontId="4"/>
  </si>
  <si>
    <t>加入者5</t>
    <rPh sb="0" eb="2">
      <t>カニュウ</t>
    </rPh>
    <rPh sb="2" eb="3">
      <t>シャ</t>
    </rPh>
    <phoneticPr fontId="2"/>
  </si>
  <si>
    <t>年金所得6</t>
    <rPh sb="0" eb="2">
      <t>ネンキン</t>
    </rPh>
    <rPh sb="2" eb="4">
      <t>ショトク</t>
    </rPh>
    <phoneticPr fontId="4"/>
  </si>
  <si>
    <t>加入者6</t>
    <rPh sb="0" eb="2">
      <t>カニュウ</t>
    </rPh>
    <rPh sb="2" eb="3">
      <t>シャ</t>
    </rPh>
    <phoneticPr fontId="2"/>
  </si>
  <si>
    <t>年金所得7</t>
    <rPh sb="0" eb="2">
      <t>ネンキン</t>
    </rPh>
    <rPh sb="2" eb="4">
      <t>ショトク</t>
    </rPh>
    <phoneticPr fontId="4"/>
  </si>
  <si>
    <t>加入者7</t>
    <rPh sb="0" eb="2">
      <t>カニュウ</t>
    </rPh>
    <rPh sb="2" eb="3">
      <t>シャ</t>
    </rPh>
    <phoneticPr fontId="2"/>
  </si>
  <si>
    <t>④その他所得</t>
    <rPh sb="3" eb="4">
      <t>タ</t>
    </rPh>
    <rPh sb="4" eb="6">
      <t>ショトク</t>
    </rPh>
    <phoneticPr fontId="2"/>
  </si>
  <si>
    <t>所得金額
調整控除</t>
    <phoneticPr fontId="2"/>
  </si>
  <si>
    <t>⑤非自発的
失業</t>
    <rPh sb="1" eb="2">
      <t>ヒ</t>
    </rPh>
    <rPh sb="2" eb="5">
      <t>ジハツテキ</t>
    </rPh>
    <rPh sb="6" eb="7">
      <t>シツ</t>
    </rPh>
    <rPh sb="7" eb="8">
      <t>ギョウ</t>
    </rPh>
    <phoneticPr fontId="14"/>
  </si>
  <si>
    <t>※「雇用保険受給資格者証(または受給資格通知）」の「離職理由」が「11.12.21.22.23.31.32.33.34」のいずれかの番号がある方が対象です。</t>
  </si>
  <si>
    <t>⑤会社の倒産や解雇などにより失業し、離職時点で年齢が65歳未満の方は、”有”を選択してください。
　</t>
    <phoneticPr fontId="2"/>
  </si>
  <si>
    <t>④給与・公的年金以外の所得がある方は、給与・公的年金以外の所得金額を合算して入力してください。</t>
    <rPh sb="1" eb="3">
      <t>キュウヨ</t>
    </rPh>
    <rPh sb="4" eb="6">
      <t>コウテキ</t>
    </rPh>
    <rPh sb="6" eb="8">
      <t>ネンキン</t>
    </rPh>
    <rPh sb="8" eb="10">
      <t>イガイ</t>
    </rPh>
    <rPh sb="11" eb="13">
      <t>ショトク</t>
    </rPh>
    <rPh sb="16" eb="17">
      <t>カタ</t>
    </rPh>
    <rPh sb="19" eb="21">
      <t>キュウヨ</t>
    </rPh>
    <rPh sb="22" eb="24">
      <t>コウテキ</t>
    </rPh>
    <rPh sb="24" eb="26">
      <t>ネンキン</t>
    </rPh>
    <rPh sb="26" eb="28">
      <t>イガイ</t>
    </rPh>
    <rPh sb="29" eb="31">
      <t>ショトク</t>
    </rPh>
    <rPh sb="31" eb="33">
      <t>キンガク</t>
    </rPh>
    <rPh sb="34" eb="36">
      <t>ガッサン</t>
    </rPh>
    <rPh sb="38" eb="40">
      <t>ニュウリョク</t>
    </rPh>
    <phoneticPr fontId="2"/>
  </si>
  <si>
    <t>（営業所得・不動産所得・配当所得・雑所得・一時所得・山林所得・土地建物の譲渡所得・株式等の譲渡所得等）</t>
    <phoneticPr fontId="2"/>
  </si>
  <si>
    <t>（月から）</t>
    <rPh sb="1" eb="2">
      <t>ツキ</t>
    </rPh>
    <phoneticPr fontId="2"/>
  </si>
  <si>
    <t>・擬制世帯主の所得は、保険税の計算には含みませんが、保険税の軽減措置の判定に用います。</t>
  </si>
  <si>
    <t>擬制世帯主</t>
    <rPh sb="0" eb="2">
      <t>ギセイ</t>
    </rPh>
    <rPh sb="2" eb="5">
      <t>セタイヌシ</t>
    </rPh>
    <phoneticPr fontId="2"/>
  </si>
  <si>
    <t>給与所得8</t>
    <rPh sb="0" eb="2">
      <t>キュウヨ</t>
    </rPh>
    <rPh sb="2" eb="4">
      <t>ショトク</t>
    </rPh>
    <phoneticPr fontId="4"/>
  </si>
  <si>
    <t>年金所得8</t>
    <rPh sb="0" eb="2">
      <t>ネンキン</t>
    </rPh>
    <rPh sb="2" eb="4">
      <t>ショトク</t>
    </rPh>
    <phoneticPr fontId="4"/>
  </si>
  <si>
    <t>擬主</t>
    <rPh sb="0" eb="1">
      <t>ギ</t>
    </rPh>
    <rPh sb="1" eb="2">
      <t>ヌシ</t>
    </rPh>
    <phoneticPr fontId="2"/>
  </si>
  <si>
    <t>給与収入</t>
    <rPh sb="0" eb="2">
      <t>キュウヨ</t>
    </rPh>
    <rPh sb="2" eb="4">
      <t>シュウニュウ</t>
    </rPh>
    <phoneticPr fontId="2"/>
  </si>
  <si>
    <t>年金収入（※１月１日基準）</t>
    <rPh sb="0" eb="2">
      <t>ネンキン</t>
    </rPh>
    <rPh sb="2" eb="4">
      <t>シュウニュウ</t>
    </rPh>
    <rPh sb="7" eb="8">
      <t>ガツ</t>
    </rPh>
    <rPh sb="9" eb="10">
      <t>ニチ</t>
    </rPh>
    <rPh sb="10" eb="12">
      <t>キジュン</t>
    </rPh>
    <phoneticPr fontId="2"/>
  </si>
  <si>
    <t>試算結果</t>
    <rPh sb="0" eb="2">
      <t>シサン</t>
    </rPh>
    <rPh sb="2" eb="4">
      <t>ケッカ</t>
    </rPh>
    <phoneticPr fontId="2"/>
  </si>
  <si>
    <t>医療分</t>
    <rPh sb="0" eb="2">
      <t>イリョウ</t>
    </rPh>
    <rPh sb="2" eb="3">
      <t>ブン</t>
    </rPh>
    <phoneticPr fontId="2"/>
  </si>
  <si>
    <t>後期高齢者支援分</t>
    <rPh sb="0" eb="2">
      <t>コウキ</t>
    </rPh>
    <rPh sb="2" eb="5">
      <t>コウレイシャ</t>
    </rPh>
    <rPh sb="5" eb="7">
      <t>シエン</t>
    </rPh>
    <rPh sb="7" eb="8">
      <t>ブン</t>
    </rPh>
    <phoneticPr fontId="2"/>
  </si>
  <si>
    <t>介護分</t>
    <rPh sb="0" eb="2">
      <t>カイゴ</t>
    </rPh>
    <rPh sb="2" eb="3">
      <t>ブン</t>
    </rPh>
    <phoneticPr fontId="2"/>
  </si>
  <si>
    <t>軽減の可否判定</t>
    <rPh sb="0" eb="2">
      <t>ケイゲン</t>
    </rPh>
    <rPh sb="3" eb="5">
      <t>カヒ</t>
    </rPh>
    <rPh sb="5" eb="7">
      <t>ハンテイ</t>
    </rPh>
    <phoneticPr fontId="4"/>
  </si>
  <si>
    <t>世帯総所得金額</t>
    <rPh sb="0" eb="2">
      <t>セタイ</t>
    </rPh>
    <rPh sb="2" eb="5">
      <t>ソウショトク</t>
    </rPh>
    <rPh sb="5" eb="7">
      <t>キンガク</t>
    </rPh>
    <phoneticPr fontId="4"/>
  </si>
  <si>
    <t>内を入力して下さい！</t>
    <rPh sb="0" eb="1">
      <t>ナイ</t>
    </rPh>
    <rPh sb="2" eb="4">
      <t>ニュウリョク</t>
    </rPh>
    <rPh sb="6" eb="7">
      <t>クダ</t>
    </rPh>
    <phoneticPr fontId="4"/>
  </si>
  <si>
    <t>７割軽減判定結果</t>
    <rPh sb="1" eb="2">
      <t>ワリ</t>
    </rPh>
    <rPh sb="2" eb="4">
      <t>ケイゲン</t>
    </rPh>
    <rPh sb="4" eb="6">
      <t>ハンテイ</t>
    </rPh>
    <rPh sb="6" eb="8">
      <t>ケッカ</t>
    </rPh>
    <phoneticPr fontId="4"/>
  </si>
  <si>
    <t>円</t>
    <rPh sb="0" eb="1">
      <t>エン</t>
    </rPh>
    <phoneticPr fontId="4"/>
  </si>
  <si>
    <t>※擬制世帯主含む</t>
    <rPh sb="1" eb="2">
      <t>ギ</t>
    </rPh>
    <rPh sb="3" eb="5">
      <t>セタイ</t>
    </rPh>
    <rPh sb="5" eb="6">
      <t>ヌシ</t>
    </rPh>
    <rPh sb="6" eb="7">
      <t>フク</t>
    </rPh>
    <phoneticPr fontId="4"/>
  </si>
  <si>
    <t>被保者数</t>
    <rPh sb="0" eb="1">
      <t>ヒ</t>
    </rPh>
    <rPh sb="1" eb="2">
      <t>ホ</t>
    </rPh>
    <rPh sb="2" eb="3">
      <t>シャ</t>
    </rPh>
    <rPh sb="3" eb="4">
      <t>スウ</t>
    </rPh>
    <phoneticPr fontId="4"/>
  </si>
  <si>
    <t>５割軽減判定結果</t>
    <rPh sb="1" eb="2">
      <t>ワリ</t>
    </rPh>
    <rPh sb="2" eb="4">
      <t>ケイゲン</t>
    </rPh>
    <rPh sb="4" eb="6">
      <t>ハンテイ</t>
    </rPh>
    <rPh sb="6" eb="8">
      <t>ケッカ</t>
    </rPh>
    <phoneticPr fontId="4"/>
  </si>
  <si>
    <t>人</t>
    <rPh sb="0" eb="1">
      <t>ニン</t>
    </rPh>
    <phoneticPr fontId="4"/>
  </si>
  <si>
    <t>×</t>
    <phoneticPr fontId="4"/>
  </si>
  <si>
    <t>※世帯主を含む</t>
    <rPh sb="1" eb="4">
      <t>セタイヌシ</t>
    </rPh>
    <rPh sb="5" eb="6">
      <t>フク</t>
    </rPh>
    <phoneticPr fontId="4"/>
  </si>
  <si>
    <t>内介護該当者</t>
    <rPh sb="0" eb="1">
      <t>ウチ</t>
    </rPh>
    <rPh sb="1" eb="3">
      <t>カイゴ</t>
    </rPh>
    <rPh sb="3" eb="6">
      <t>ガイトウシャ</t>
    </rPh>
    <phoneticPr fontId="4"/>
  </si>
  <si>
    <t>２割軽減判定結果</t>
    <rPh sb="1" eb="2">
      <t>ワリ</t>
    </rPh>
    <rPh sb="2" eb="4">
      <t>ケイゲン</t>
    </rPh>
    <rPh sb="4" eb="6">
      <t>ハンテイ</t>
    </rPh>
    <rPh sb="6" eb="8">
      <t>ケッカ</t>
    </rPh>
    <phoneticPr fontId="4"/>
  </si>
  <si>
    <t>人</t>
    <rPh sb="0" eb="1">
      <t>ヒト</t>
    </rPh>
    <phoneticPr fontId="4"/>
  </si>
  <si>
    <t>平等割</t>
    <rPh sb="0" eb="2">
      <t>ビョウドウ</t>
    </rPh>
    <rPh sb="2" eb="3">
      <t>ワリ</t>
    </rPh>
    <phoneticPr fontId="4"/>
  </si>
  <si>
    <t>円です。</t>
    <rPh sb="0" eb="1">
      <t>エン</t>
    </rPh>
    <phoneticPr fontId="2"/>
  </si>
  <si>
    <t>擬</t>
    <rPh sb="0" eb="1">
      <t>ギ</t>
    </rPh>
    <phoneticPr fontId="4"/>
  </si>
  <si>
    <t>医療所得</t>
    <rPh sb="0" eb="2">
      <t>イリョウ</t>
    </rPh>
    <rPh sb="2" eb="4">
      <t>ショトク</t>
    </rPh>
    <phoneticPr fontId="4"/>
  </si>
  <si>
    <t>年金所得</t>
    <rPh sb="0" eb="2">
      <t>ネンキン</t>
    </rPh>
    <rPh sb="2" eb="4">
      <t>ショトク</t>
    </rPh>
    <phoneticPr fontId="4"/>
  </si>
  <si>
    <t>軽減判定用所得</t>
    <rPh sb="0" eb="2">
      <t>ケイゲン</t>
    </rPh>
    <rPh sb="2" eb="5">
      <t>ハンテイヨウ</t>
    </rPh>
    <rPh sb="5" eb="7">
      <t>ショトク</t>
    </rPh>
    <phoneticPr fontId="4"/>
  </si>
  <si>
    <t>控</t>
    <rPh sb="0" eb="1">
      <t>ヒカエ</t>
    </rPh>
    <phoneticPr fontId="4"/>
  </si>
  <si>
    <t>控（43万未満）</t>
    <rPh sb="0" eb="1">
      <t>ヒカエ</t>
    </rPh>
    <rPh sb="4" eb="5">
      <t>マン</t>
    </rPh>
    <rPh sb="5" eb="7">
      <t>ミマン</t>
    </rPh>
    <phoneticPr fontId="4"/>
  </si>
  <si>
    <t>年齢</t>
    <rPh sb="0" eb="2">
      <t>ネンレイ</t>
    </rPh>
    <phoneticPr fontId="4"/>
  </si>
  <si>
    <t>介</t>
    <rPh sb="0" eb="1">
      <t>スケ</t>
    </rPh>
    <phoneticPr fontId="4"/>
  </si>
  <si>
    <t>介護所得</t>
    <rPh sb="0" eb="2">
      <t>カイゴ</t>
    </rPh>
    <rPh sb="2" eb="4">
      <t>ショトク</t>
    </rPh>
    <phoneticPr fontId="4"/>
  </si>
  <si>
    <t>低所得世帯に係る保険税の軽減割合</t>
    <rPh sb="0" eb="3">
      <t>テイショトク</t>
    </rPh>
    <rPh sb="3" eb="5">
      <t>セタイ</t>
    </rPh>
    <rPh sb="6" eb="7">
      <t>カカ</t>
    </rPh>
    <rPh sb="8" eb="10">
      <t>ホケン</t>
    </rPh>
    <rPh sb="10" eb="11">
      <t>ゼイ</t>
    </rPh>
    <rPh sb="12" eb="14">
      <t>ケイゲン</t>
    </rPh>
    <rPh sb="14" eb="16">
      <t>ワリアイ</t>
    </rPh>
    <phoneticPr fontId="4"/>
  </si>
  <si>
    <t>割</t>
    <rPh sb="0" eb="1">
      <t>ワリ</t>
    </rPh>
    <phoneticPr fontId="4"/>
  </si>
  <si>
    <t>※軽減に該当する場合は、均等割・平等割がそれぞれ減額されます。</t>
    <rPh sb="1" eb="3">
      <t>ケイゲン</t>
    </rPh>
    <rPh sb="4" eb="6">
      <t>ガイトウ</t>
    </rPh>
    <rPh sb="8" eb="10">
      <t>バアイ</t>
    </rPh>
    <rPh sb="12" eb="15">
      <t>キントウワ</t>
    </rPh>
    <rPh sb="16" eb="18">
      <t>ビョウドウ</t>
    </rPh>
    <rPh sb="18" eb="19">
      <t>ワリ</t>
    </rPh>
    <rPh sb="24" eb="26">
      <t>ゲンガク</t>
    </rPh>
    <phoneticPr fontId="4"/>
  </si>
  <si>
    <t>単位：円</t>
    <rPh sb="0" eb="2">
      <t>タンイ</t>
    </rPh>
    <rPh sb="3" eb="4">
      <t>エン</t>
    </rPh>
    <phoneticPr fontId="4"/>
  </si>
  <si>
    <t>医　　療　　分</t>
    <rPh sb="0" eb="1">
      <t>イ</t>
    </rPh>
    <rPh sb="3" eb="4">
      <t>イヤス</t>
    </rPh>
    <rPh sb="6" eb="7">
      <t>ブン</t>
    </rPh>
    <phoneticPr fontId="4"/>
  </si>
  <si>
    <t>後期高齢者支援金分</t>
    <rPh sb="0" eb="2">
      <t>コウキ</t>
    </rPh>
    <rPh sb="2" eb="4">
      <t>コウレイ</t>
    </rPh>
    <rPh sb="4" eb="5">
      <t>モノ</t>
    </rPh>
    <rPh sb="5" eb="7">
      <t>シエン</t>
    </rPh>
    <rPh sb="7" eb="8">
      <t>キン</t>
    </rPh>
    <rPh sb="8" eb="9">
      <t>ブン</t>
    </rPh>
    <phoneticPr fontId="4"/>
  </si>
  <si>
    <t>介　護　分　（ ４ ０歳～６４歳 ）</t>
    <rPh sb="0" eb="1">
      <t>スケ</t>
    </rPh>
    <rPh sb="2" eb="3">
      <t>マモル</t>
    </rPh>
    <rPh sb="4" eb="5">
      <t>ブン</t>
    </rPh>
    <rPh sb="11" eb="12">
      <t>サイ</t>
    </rPh>
    <rPh sb="15" eb="16">
      <t>サイ</t>
    </rPh>
    <phoneticPr fontId="4"/>
  </si>
  <si>
    <t>課税標準額</t>
    <rPh sb="0" eb="2">
      <t>カゼイ</t>
    </rPh>
    <rPh sb="2" eb="4">
      <t>ヒョウジュン</t>
    </rPh>
    <rPh sb="4" eb="5">
      <t>ガク</t>
    </rPh>
    <phoneticPr fontId="4"/>
  </si>
  <si>
    <t>＝</t>
    <phoneticPr fontId="4"/>
  </si>
  <si>
    <t>税　　率</t>
    <rPh sb="0" eb="1">
      <t>ゼイ</t>
    </rPh>
    <rPh sb="3" eb="4">
      <t>リツ</t>
    </rPh>
    <phoneticPr fontId="4"/>
  </si>
  <si>
    <t>①所得割額</t>
    <rPh sb="1" eb="3">
      <t>ショトク</t>
    </rPh>
    <rPh sb="3" eb="4">
      <t>ワリ</t>
    </rPh>
    <rPh sb="4" eb="5">
      <t>ガク</t>
    </rPh>
    <phoneticPr fontId="4"/>
  </si>
  <si>
    <t>⑤所得割額</t>
    <rPh sb="1" eb="3">
      <t>ショトク</t>
    </rPh>
    <rPh sb="3" eb="4">
      <t>ワリ</t>
    </rPh>
    <rPh sb="4" eb="5">
      <t>ガク</t>
    </rPh>
    <phoneticPr fontId="4"/>
  </si>
  <si>
    <t>⑨所得割額</t>
    <rPh sb="1" eb="3">
      <t>ショトク</t>
    </rPh>
    <rPh sb="3" eb="4">
      <t>ワリ</t>
    </rPh>
    <rPh sb="4" eb="5">
      <t>ガク</t>
    </rPh>
    <phoneticPr fontId="4"/>
  </si>
  <si>
    <t>×</t>
    <phoneticPr fontId="4"/>
  </si>
  <si>
    <t>均等割</t>
    <rPh sb="0" eb="3">
      <t>キントウワ</t>
    </rPh>
    <phoneticPr fontId="4"/>
  </si>
  <si>
    <t>加入者数</t>
    <rPh sb="0" eb="2">
      <t>カニュウ</t>
    </rPh>
    <rPh sb="2" eb="3">
      <t>シャ</t>
    </rPh>
    <rPh sb="3" eb="4">
      <t>スウ</t>
    </rPh>
    <phoneticPr fontId="4"/>
  </si>
  <si>
    <t>税率（一人当）</t>
    <rPh sb="0" eb="2">
      <t>ゼイリツ</t>
    </rPh>
    <rPh sb="3" eb="5">
      <t>ヒトリ</t>
    </rPh>
    <rPh sb="5" eb="6">
      <t>ア</t>
    </rPh>
    <phoneticPr fontId="4"/>
  </si>
  <si>
    <t>該当者数</t>
    <rPh sb="0" eb="2">
      <t>ガイトウ</t>
    </rPh>
    <rPh sb="2" eb="3">
      <t>シャ</t>
    </rPh>
    <rPh sb="3" eb="4">
      <t>スウ</t>
    </rPh>
    <phoneticPr fontId="4"/>
  </si>
  <si>
    <t>×</t>
    <phoneticPr fontId="4"/>
  </si>
  <si>
    <t>＝</t>
    <phoneticPr fontId="4"/>
  </si>
  <si>
    <t>税率（１世帯当）</t>
    <rPh sb="0" eb="2">
      <t>ゼイリツ</t>
    </rPh>
    <rPh sb="4" eb="6">
      <t>セタイ</t>
    </rPh>
    <rPh sb="6" eb="7">
      <t>ア</t>
    </rPh>
    <phoneticPr fontId="4"/>
  </si>
  <si>
    <t>計</t>
    <rPh sb="0" eb="1">
      <t>ケイ</t>
    </rPh>
    <phoneticPr fontId="4"/>
  </si>
  <si>
    <t>①所得割</t>
    <rPh sb="1" eb="3">
      <t>ショトク</t>
    </rPh>
    <rPh sb="3" eb="4">
      <t>ワリ</t>
    </rPh>
    <phoneticPr fontId="4"/>
  </si>
  <si>
    <t>⑤所得割</t>
    <rPh sb="1" eb="3">
      <t>ショトク</t>
    </rPh>
    <rPh sb="3" eb="4">
      <t>ワリ</t>
    </rPh>
    <phoneticPr fontId="4"/>
  </si>
  <si>
    <t>⑨所得割</t>
    <rPh sb="1" eb="3">
      <t>ショトク</t>
    </rPh>
    <rPh sb="3" eb="4">
      <t>ワリ</t>
    </rPh>
    <phoneticPr fontId="4"/>
  </si>
  <si>
    <t>＋</t>
    <phoneticPr fontId="4"/>
  </si>
  <si>
    <t>＋</t>
    <phoneticPr fontId="4"/>
  </si>
  <si>
    <t>年税額（Ａ）</t>
    <rPh sb="0" eb="3">
      <t>ネンゼイガク</t>
    </rPh>
    <phoneticPr fontId="4"/>
  </si>
  <si>
    <t>⑧平等割</t>
    <rPh sb="1" eb="3">
      <t>ビョウドウ</t>
    </rPh>
    <rPh sb="3" eb="4">
      <t>ワリ</t>
    </rPh>
    <phoneticPr fontId="4"/>
  </si>
  <si>
    <t>年税額（Ｂ）</t>
    <rPh sb="0" eb="3">
      <t>ネンゼイガク</t>
    </rPh>
    <phoneticPr fontId="4"/>
  </si>
  <si>
    <t>年税額（Ｃ）</t>
    <rPh sb="0" eb="3">
      <t>ネンゼイガク</t>
    </rPh>
    <phoneticPr fontId="4"/>
  </si>
  <si>
    <t>＝</t>
    <phoneticPr fontId="4"/>
  </si>
  <si>
    <t>→</t>
    <phoneticPr fontId="4"/>
  </si>
  <si>
    <t>＝</t>
    <phoneticPr fontId="4"/>
  </si>
  <si>
    <t>→</t>
    <phoneticPr fontId="4"/>
  </si>
  <si>
    <t>（100円未満切り捨て）</t>
    <rPh sb="4" eb="5">
      <t>エン</t>
    </rPh>
    <rPh sb="5" eb="7">
      <t>ミマン</t>
    </rPh>
    <rPh sb="7" eb="8">
      <t>キ</t>
    </rPh>
    <rPh sb="9" eb="10">
      <t>ス</t>
    </rPh>
    <phoneticPr fontId="4"/>
  </si>
  <si>
    <t>医療分課税限度額</t>
    <rPh sb="0" eb="2">
      <t>イリョウ</t>
    </rPh>
    <rPh sb="2" eb="3">
      <t>ブン</t>
    </rPh>
    <rPh sb="3" eb="5">
      <t>カゼイ</t>
    </rPh>
    <rPh sb="5" eb="7">
      <t>ゲンド</t>
    </rPh>
    <rPh sb="7" eb="8">
      <t>ガク</t>
    </rPh>
    <phoneticPr fontId="4"/>
  </si>
  <si>
    <t>支援金分課税限度額</t>
    <rPh sb="0" eb="2">
      <t>シエン</t>
    </rPh>
    <rPh sb="2" eb="3">
      <t>キン</t>
    </rPh>
    <rPh sb="3" eb="4">
      <t>ブン</t>
    </rPh>
    <rPh sb="4" eb="6">
      <t>カゼイ</t>
    </rPh>
    <rPh sb="6" eb="8">
      <t>ゲンド</t>
    </rPh>
    <rPh sb="8" eb="9">
      <t>ガク</t>
    </rPh>
    <phoneticPr fontId="4"/>
  </si>
  <si>
    <t>→</t>
    <phoneticPr fontId="4"/>
  </si>
  <si>
    <t>介護分課税限度額</t>
    <rPh sb="0" eb="2">
      <t>カイゴ</t>
    </rPh>
    <rPh sb="2" eb="3">
      <t>ブン</t>
    </rPh>
    <rPh sb="3" eb="5">
      <t>カゼイ</t>
    </rPh>
    <rPh sb="5" eb="7">
      <t>ゲンド</t>
    </rPh>
    <rPh sb="7" eb="8">
      <t>ガク</t>
    </rPh>
    <phoneticPr fontId="4"/>
  </si>
  <si>
    <t>加入月数</t>
    <rPh sb="0" eb="2">
      <t>カニュウ</t>
    </rPh>
    <rPh sb="2" eb="3">
      <t>ツキ</t>
    </rPh>
    <rPh sb="3" eb="4">
      <t>カズ</t>
    </rPh>
    <phoneticPr fontId="4"/>
  </si>
  <si>
    <t>医・均等</t>
    <rPh sb="0" eb="1">
      <t>イ</t>
    </rPh>
    <rPh sb="2" eb="3">
      <t>キン</t>
    </rPh>
    <rPh sb="3" eb="4">
      <t>トウ</t>
    </rPh>
    <phoneticPr fontId="4"/>
  </si>
  <si>
    <t>医・平等</t>
    <rPh sb="0" eb="1">
      <t>イ</t>
    </rPh>
    <rPh sb="2" eb="4">
      <t>ビョウドウ</t>
    </rPh>
    <phoneticPr fontId="4"/>
  </si>
  <si>
    <t>支・均等</t>
    <rPh sb="0" eb="1">
      <t>ササ</t>
    </rPh>
    <rPh sb="2" eb="4">
      <t>キントウ</t>
    </rPh>
    <phoneticPr fontId="4"/>
  </si>
  <si>
    <t>支・平等</t>
    <rPh sb="0" eb="1">
      <t>ササ</t>
    </rPh>
    <rPh sb="2" eb="4">
      <t>ビョウドウ</t>
    </rPh>
    <phoneticPr fontId="4"/>
  </si>
  <si>
    <t>介・均等</t>
    <rPh sb="0" eb="1">
      <t>スケ</t>
    </rPh>
    <rPh sb="2" eb="4">
      <t>キントウ</t>
    </rPh>
    <phoneticPr fontId="4"/>
  </si>
  <si>
    <t>介・平等</t>
    <rPh sb="0" eb="1">
      <t>スケ</t>
    </rPh>
    <rPh sb="2" eb="4">
      <t>ビョウドウ</t>
    </rPh>
    <phoneticPr fontId="4"/>
  </si>
  <si>
    <t>応能割</t>
    <rPh sb="0" eb="2">
      <t>オウノウ</t>
    </rPh>
    <rPh sb="2" eb="3">
      <t>ワリ</t>
    </rPh>
    <phoneticPr fontId="4"/>
  </si>
  <si>
    <t>医療</t>
    <rPh sb="0" eb="2">
      <t>イリョウ</t>
    </rPh>
    <phoneticPr fontId="4"/>
  </si>
  <si>
    <t>支援</t>
    <rPh sb="0" eb="2">
      <t>シエン</t>
    </rPh>
    <phoneticPr fontId="4"/>
  </si>
  <si>
    <t>介護</t>
    <rPh sb="0" eb="2">
      <t>カイゴ</t>
    </rPh>
    <phoneticPr fontId="4"/>
  </si>
  <si>
    <t>所得割</t>
    <rPh sb="0" eb="2">
      <t>ショトク</t>
    </rPh>
    <rPh sb="2" eb="3">
      <t>ワリ</t>
    </rPh>
    <phoneticPr fontId="4"/>
  </si>
  <si>
    <t>応益割</t>
    <rPh sb="0" eb="2">
      <t>オウエキ</t>
    </rPh>
    <rPh sb="2" eb="3">
      <t>ワリ</t>
    </rPh>
    <phoneticPr fontId="4"/>
  </si>
  <si>
    <t>軽減割合</t>
    <rPh sb="0" eb="2">
      <t>ケイゲン</t>
    </rPh>
    <rPh sb="2" eb="4">
      <t>ワリアイ</t>
    </rPh>
    <phoneticPr fontId="4"/>
  </si>
  <si>
    <t>限度額</t>
    <rPh sb="0" eb="2">
      <t>ゲンド</t>
    </rPh>
    <rPh sb="2" eb="3">
      <t>ガク</t>
    </rPh>
    <phoneticPr fontId="4"/>
  </si>
  <si>
    <t>②均等割額</t>
    <rPh sb="1" eb="4">
      <t>キントウワ</t>
    </rPh>
    <rPh sb="4" eb="5">
      <t>ガク</t>
    </rPh>
    <phoneticPr fontId="4"/>
  </si>
  <si>
    <t>③平等割額</t>
    <rPh sb="1" eb="3">
      <t>ビョウドウ</t>
    </rPh>
    <rPh sb="3" eb="4">
      <t>ワリ</t>
    </rPh>
    <rPh sb="4" eb="5">
      <t>ガク</t>
    </rPh>
    <phoneticPr fontId="4"/>
  </si>
  <si>
    <t>②均等割</t>
    <rPh sb="1" eb="4">
      <t>キントウワ</t>
    </rPh>
    <phoneticPr fontId="4"/>
  </si>
  <si>
    <t>③平等割</t>
    <rPh sb="1" eb="3">
      <t>ビョウドウ</t>
    </rPh>
    <rPh sb="3" eb="4">
      <t>ワリ</t>
    </rPh>
    <phoneticPr fontId="4"/>
  </si>
  <si>
    <t>⑥均等割額</t>
    <rPh sb="1" eb="4">
      <t>キントウワ</t>
    </rPh>
    <rPh sb="4" eb="5">
      <t>ガク</t>
    </rPh>
    <phoneticPr fontId="4"/>
  </si>
  <si>
    <t>⑦平等割額</t>
    <rPh sb="1" eb="3">
      <t>ビョウドウ</t>
    </rPh>
    <rPh sb="3" eb="4">
      <t>ワリ</t>
    </rPh>
    <rPh sb="4" eb="5">
      <t>ガク</t>
    </rPh>
    <phoneticPr fontId="4"/>
  </si>
  <si>
    <t>⑥均等割</t>
    <rPh sb="1" eb="4">
      <t>キントウワ</t>
    </rPh>
    <phoneticPr fontId="4"/>
  </si>
  <si>
    <t>⑩均等割額</t>
    <rPh sb="1" eb="4">
      <t>キントウワ</t>
    </rPh>
    <rPh sb="4" eb="5">
      <t>ガク</t>
    </rPh>
    <phoneticPr fontId="4"/>
  </si>
  <si>
    <t>⑪平等割額</t>
    <rPh sb="1" eb="3">
      <t>ビョウドウ</t>
    </rPh>
    <rPh sb="3" eb="4">
      <t>ワリ</t>
    </rPh>
    <rPh sb="4" eb="5">
      <t>ガク</t>
    </rPh>
    <phoneticPr fontId="4"/>
  </si>
  <si>
    <t>⑩均等割</t>
    <rPh sb="1" eb="4">
      <t>キントウワ</t>
    </rPh>
    <phoneticPr fontId="4"/>
  </si>
  <si>
    <t>⑪平等割</t>
    <rPh sb="1" eb="3">
      <t>ビョウドウ</t>
    </rPh>
    <rPh sb="3" eb="4">
      <t>ワリ</t>
    </rPh>
    <phoneticPr fontId="4"/>
  </si>
  <si>
    <t>未</t>
    <rPh sb="0" eb="1">
      <t>ミ</t>
    </rPh>
    <phoneticPr fontId="2"/>
  </si>
  <si>
    <t>未就学該当者数</t>
    <rPh sb="0" eb="3">
      <t>ミシュウガク</t>
    </rPh>
    <rPh sb="3" eb="6">
      <t>ガイトウシャ</t>
    </rPh>
    <rPh sb="6" eb="7">
      <t>スウ</t>
    </rPh>
    <phoneticPr fontId="2"/>
  </si>
  <si>
    <t>＝</t>
    <phoneticPr fontId="4"/>
  </si>
  <si>
    <t>均等割減額</t>
    <rPh sb="0" eb="3">
      <t>キントウワリ</t>
    </rPh>
    <rPh sb="3" eb="5">
      <t>ゲンガク</t>
    </rPh>
    <phoneticPr fontId="2"/>
  </si>
  <si>
    <t>【参考】１ヶ月あたり税額</t>
    <rPh sb="1" eb="3">
      <t>サンコウ</t>
    </rPh>
    <rPh sb="6" eb="7">
      <t>ゲツ</t>
    </rPh>
    <rPh sb="10" eb="12">
      <t>ゼイガク</t>
    </rPh>
    <phoneticPr fontId="2"/>
  </si>
  <si>
    <t>円</t>
    <rPh sb="0" eb="1">
      <t>エン</t>
    </rPh>
    <phoneticPr fontId="2"/>
  </si>
  <si>
    <t>所得割</t>
    <rPh sb="0" eb="2">
      <t>ショトク</t>
    </rPh>
    <rPh sb="2" eb="3">
      <t>ワリ</t>
    </rPh>
    <phoneticPr fontId="2"/>
  </si>
  <si>
    <t>課税所得</t>
    <rPh sb="0" eb="2">
      <t>カゼイ</t>
    </rPh>
    <rPh sb="2" eb="4">
      <t>ショトク</t>
    </rPh>
    <phoneticPr fontId="2"/>
  </si>
  <si>
    <t xml:space="preserve"> ← このような色の付いた部分を入力してください。</t>
    <rPh sb="8" eb="9">
      <t>イロ</t>
    </rPh>
    <rPh sb="10" eb="11">
      <t>ツ</t>
    </rPh>
    <rPh sb="13" eb="15">
      <t>ブブン</t>
    </rPh>
    <rPh sb="16" eb="18">
      <t>ニュウリョク</t>
    </rPh>
    <phoneticPr fontId="14"/>
  </si>
  <si>
    <t>世帯全体</t>
    <rPh sb="0" eb="2">
      <t>セタイ</t>
    </rPh>
    <rPh sb="2" eb="4">
      <t>ゼンタイ</t>
    </rPh>
    <phoneticPr fontId="2"/>
  </si>
  <si>
    <t>基礎</t>
    <rPh sb="0" eb="2">
      <t>キソ</t>
    </rPh>
    <phoneticPr fontId="4"/>
  </si>
  <si>
    <t>加入月数</t>
    <rPh sb="0" eb="2">
      <t>カニュウ</t>
    </rPh>
    <rPh sb="2" eb="4">
      <t>ツキスウ</t>
    </rPh>
    <phoneticPr fontId="4"/>
  </si>
  <si>
    <t>均等割</t>
    <rPh sb="0" eb="3">
      <t>キントウワリ</t>
    </rPh>
    <phoneticPr fontId="4"/>
  </si>
  <si>
    <t>合計</t>
    <rPh sb="0" eb="2">
      <t>ゴウケイ</t>
    </rPh>
    <phoneticPr fontId="4"/>
  </si>
  <si>
    <t>所得割＋均等割</t>
    <rPh sb="0" eb="2">
      <t>ショトク</t>
    </rPh>
    <rPh sb="2" eb="3">
      <t>ワリ</t>
    </rPh>
    <rPh sb="4" eb="7">
      <t>キントウワリ</t>
    </rPh>
    <phoneticPr fontId="4"/>
  </si>
  <si>
    <t>未就児減額</t>
    <rPh sb="0" eb="2">
      <t>ミシュウ</t>
    </rPh>
    <rPh sb="2" eb="3">
      <t>ジ</t>
    </rPh>
    <rPh sb="3" eb="5">
      <t>ゲンガク</t>
    </rPh>
    <phoneticPr fontId="2"/>
  </si>
  <si>
    <t>【注意事項】</t>
    <rPh sb="1" eb="5">
      <t>チュウイジコウ</t>
    </rPh>
    <phoneticPr fontId="2"/>
  </si>
  <si>
    <t>次の場合の保険税計算には対応していません。</t>
    <rPh sb="0" eb="1">
      <t>ツギ</t>
    </rPh>
    <rPh sb="2" eb="4">
      <t>バアイ</t>
    </rPh>
    <rPh sb="5" eb="8">
      <t>ホケンゼイ</t>
    </rPh>
    <rPh sb="8" eb="10">
      <t>ケイサン</t>
    </rPh>
    <rPh sb="12" eb="14">
      <t>タイオウ</t>
    </rPh>
    <phoneticPr fontId="2"/>
  </si>
  <si>
    <t>①加入者全員の該当年４月１日時点の年齢を入力してください。(未入力の場合、計算に反映されません）</t>
    <rPh sb="1" eb="3">
      <t>カニュウ</t>
    </rPh>
    <rPh sb="3" eb="4">
      <t>シャ</t>
    </rPh>
    <rPh sb="4" eb="5">
      <t>ゼン</t>
    </rPh>
    <rPh sb="5" eb="6">
      <t>イン</t>
    </rPh>
    <rPh sb="7" eb="9">
      <t>ガイトウ</t>
    </rPh>
    <rPh sb="9" eb="10">
      <t>ネン</t>
    </rPh>
    <rPh sb="11" eb="12">
      <t>ガツ</t>
    </rPh>
    <rPh sb="13" eb="14">
      <t>ニチ</t>
    </rPh>
    <rPh sb="14" eb="16">
      <t>ジテン</t>
    </rPh>
    <rPh sb="17" eb="19">
      <t>ネンレイ</t>
    </rPh>
    <rPh sb="20" eb="22">
      <t>ニュウリョク</t>
    </rPh>
    <rPh sb="30" eb="33">
      <t>ミニュウリョク</t>
    </rPh>
    <rPh sb="34" eb="36">
      <t>バアイ</t>
    </rPh>
    <rPh sb="37" eb="39">
      <t>ケイサン</t>
    </rPh>
    <rPh sb="40" eb="42">
      <t>ハンエイ</t>
    </rPh>
    <phoneticPr fontId="2"/>
  </si>
  <si>
    <t>限度額</t>
    <rPh sb="0" eb="2">
      <t>ゲンド</t>
    </rPh>
    <rPh sb="2" eb="3">
      <t>ガク</t>
    </rPh>
    <phoneticPr fontId="2"/>
  </si>
  <si>
    <t>擬制世帯主の収入状況</t>
    <phoneticPr fontId="2"/>
  </si>
  <si>
    <t>※世帯主が国民健康保険加入者ではない場合は、３擬制世帯主の収入状況を入力してください。</t>
    <rPh sb="1" eb="4">
      <t>セタイヌシ</t>
    </rPh>
    <rPh sb="5" eb="7">
      <t>コクミン</t>
    </rPh>
    <rPh sb="7" eb="9">
      <t>ケンコウ</t>
    </rPh>
    <rPh sb="9" eb="11">
      <t>ホケン</t>
    </rPh>
    <rPh sb="11" eb="13">
      <t>カニュウ</t>
    </rPh>
    <rPh sb="13" eb="14">
      <t>シャ</t>
    </rPh>
    <rPh sb="18" eb="20">
      <t>バアイ</t>
    </rPh>
    <rPh sb="34" eb="36">
      <t>ニュウリョク</t>
    </rPh>
    <phoneticPr fontId="2"/>
  </si>
  <si>
    <t>・擬制世帯主の収入を入力してください。</t>
    <rPh sb="1" eb="3">
      <t>ギセイ</t>
    </rPh>
    <rPh sb="3" eb="6">
      <t>セタイヌシ</t>
    </rPh>
    <rPh sb="7" eb="9">
      <t>シュウニュウ</t>
    </rPh>
    <rPh sb="10" eb="12">
      <t>ニュウリョク</t>
    </rPh>
    <phoneticPr fontId="2"/>
  </si>
  <si>
    <t>【お問い合わせ先】いすみ市役所　税務課（課税班）　℡0470-62-1116</t>
  </si>
  <si>
    <t>世帯全体</t>
    <rPh sb="0" eb="2">
      <t>セタイ</t>
    </rPh>
    <rPh sb="2" eb="4">
      <t>ゼンタイ</t>
    </rPh>
    <phoneticPr fontId="2"/>
  </si>
  <si>
    <t>限度額</t>
    <rPh sb="0" eb="2">
      <t>ゲンド</t>
    </rPh>
    <rPh sb="2" eb="3">
      <t>ガク</t>
    </rPh>
    <phoneticPr fontId="2"/>
  </si>
  <si>
    <t>年税額</t>
    <rPh sb="0" eb="3">
      <t>ネンゼイガク</t>
    </rPh>
    <phoneticPr fontId="2"/>
  </si>
  <si>
    <t>税額</t>
    <rPh sb="0" eb="2">
      <t>ゼイガク</t>
    </rPh>
    <phoneticPr fontId="2"/>
  </si>
  <si>
    <t>あなたの世帯の保険税は、</t>
    <rPh sb="4" eb="6">
      <t>セタイ</t>
    </rPh>
    <rPh sb="7" eb="9">
      <t>ホケン</t>
    </rPh>
    <rPh sb="9" eb="10">
      <t>ゼイ</t>
    </rPh>
    <phoneticPr fontId="2"/>
  </si>
  <si>
    <t>ヵ月でおおよそ年額</t>
    <rPh sb="1" eb="2">
      <t>ゲツ</t>
    </rPh>
    <rPh sb="7" eb="9">
      <t>ネンガク</t>
    </rPh>
    <phoneticPr fontId="2"/>
  </si>
  <si>
    <t>税額</t>
    <rPh sb="0" eb="2">
      <t>ゼイガク</t>
    </rPh>
    <phoneticPr fontId="4"/>
  </si>
  <si>
    <t>※当試算結果はあくまでも概算額となります。実際の保険税額と異なる場合がありますので、   ご承知おきください。</t>
    <rPh sb="1" eb="2">
      <t>トウ</t>
    </rPh>
    <rPh sb="2" eb="4">
      <t>シサン</t>
    </rPh>
    <rPh sb="4" eb="6">
      <t>ケッカ</t>
    </rPh>
    <rPh sb="12" eb="14">
      <t>ガイサン</t>
    </rPh>
    <rPh sb="14" eb="15">
      <t>ガク</t>
    </rPh>
    <rPh sb="21" eb="23">
      <t>ジッサイ</t>
    </rPh>
    <rPh sb="24" eb="28">
      <t>ホケンゼイガク</t>
    </rPh>
    <rPh sb="29" eb="30">
      <t>コト</t>
    </rPh>
    <rPh sb="32" eb="34">
      <t>バアイ</t>
    </rPh>
    <rPh sb="46" eb="48">
      <t>ショウチ</t>
    </rPh>
    <phoneticPr fontId="2"/>
  </si>
  <si>
    <r>
      <t>給与</t>
    </r>
    <r>
      <rPr>
        <sz val="20"/>
        <color theme="1"/>
        <rFont val="游ゴシック"/>
        <family val="3"/>
        <charset val="128"/>
        <scheme val="minor"/>
      </rPr>
      <t>所得</t>
    </r>
    <rPh sb="0" eb="2">
      <t>キュウヨ</t>
    </rPh>
    <rPh sb="2" eb="4">
      <t>ショトク</t>
    </rPh>
    <phoneticPr fontId="2"/>
  </si>
  <si>
    <r>
      <t>・国保健康保険の被保険者でない世帯主を</t>
    </r>
    <r>
      <rPr>
        <u val="double"/>
        <sz val="20"/>
        <color theme="1"/>
        <rFont val="游ゴシック"/>
        <family val="3"/>
        <charset val="128"/>
        <scheme val="minor"/>
      </rPr>
      <t>擬制世帯主</t>
    </r>
    <r>
      <rPr>
        <sz val="20"/>
        <color theme="1"/>
        <rFont val="游ゴシック"/>
        <family val="2"/>
        <charset val="128"/>
        <scheme val="minor"/>
      </rPr>
      <t>といいます。</t>
    </r>
    <phoneticPr fontId="2"/>
  </si>
  <si>
    <r>
      <t>①年齢</t>
    </r>
    <r>
      <rPr>
        <sz val="20"/>
        <color theme="1"/>
        <rFont val="游ゴシック"/>
        <family val="3"/>
        <charset val="128"/>
        <scheme val="minor"/>
      </rPr>
      <t xml:space="preserve">     </t>
    </r>
    <r>
      <rPr>
        <sz val="16"/>
        <color theme="1"/>
        <rFont val="游ゴシック"/>
        <family val="3"/>
        <charset val="128"/>
        <scheme val="minor"/>
      </rPr>
      <t xml:space="preserve"> </t>
    </r>
    <r>
      <rPr>
        <sz val="14"/>
        <color theme="1"/>
        <rFont val="游ゴシック"/>
        <family val="3"/>
        <charset val="128"/>
        <scheme val="minor"/>
      </rPr>
      <t xml:space="preserve"> (４月１日基準）</t>
    </r>
    <rPh sb="1" eb="3">
      <t>ネンレイ</t>
    </rPh>
    <rPh sb="12" eb="13">
      <t>ガツ</t>
    </rPh>
    <rPh sb="14" eb="15">
      <t>ニチ</t>
    </rPh>
    <rPh sb="15" eb="17">
      <t>キジュン</t>
    </rPh>
    <phoneticPr fontId="2"/>
  </si>
  <si>
    <t xml:space="preserve">  ・年度途中に加入者の所得や人数が変わる場合</t>
    <rPh sb="3" eb="5">
      <t>ネンド</t>
    </rPh>
    <rPh sb="5" eb="7">
      <t>トチュウ</t>
    </rPh>
    <rPh sb="8" eb="11">
      <t>カニュウシャ</t>
    </rPh>
    <rPh sb="12" eb="14">
      <t>ショトク</t>
    </rPh>
    <rPh sb="15" eb="17">
      <t>ニンズウ</t>
    </rPh>
    <rPh sb="18" eb="19">
      <t>カ</t>
    </rPh>
    <rPh sb="21" eb="23">
      <t>バアイ</t>
    </rPh>
    <phoneticPr fontId="2"/>
  </si>
  <si>
    <t xml:space="preserve">  ・加入者が年度途中で40歳・65歳・75歳に到達する場合</t>
    <rPh sb="3" eb="6">
      <t>カニュウシャ</t>
    </rPh>
    <rPh sb="7" eb="9">
      <t>ネンド</t>
    </rPh>
    <rPh sb="9" eb="11">
      <t>トチュウ</t>
    </rPh>
    <rPh sb="14" eb="15">
      <t>サイ</t>
    </rPh>
    <rPh sb="18" eb="19">
      <t>サイ</t>
    </rPh>
    <rPh sb="22" eb="23">
      <t>サイ</t>
    </rPh>
    <rPh sb="24" eb="26">
      <t>トウタツ</t>
    </rPh>
    <rPh sb="28" eb="30">
      <t>バアイ</t>
    </rPh>
    <phoneticPr fontId="2"/>
  </si>
  <si>
    <t xml:space="preserve">  ・世帯の中に国民健康保険から後期高齢者医療保険制度に移行された方がいる場合</t>
    <phoneticPr fontId="2"/>
  </si>
  <si>
    <t xml:space="preserve">  ・未就学や非自発的失業以外の保険税の減免（産前産後・収容等）が適用されている場合</t>
    <rPh sb="3" eb="6">
      <t>ミシュウガク</t>
    </rPh>
    <rPh sb="7" eb="8">
      <t>ヒ</t>
    </rPh>
    <rPh sb="8" eb="11">
      <t>ジハツテキ</t>
    </rPh>
    <rPh sb="11" eb="13">
      <t>シツギョウ</t>
    </rPh>
    <rPh sb="13" eb="15">
      <t>イガイ</t>
    </rPh>
    <rPh sb="23" eb="25">
      <t>サンゼン</t>
    </rPh>
    <rPh sb="25" eb="27">
      <t>サンゴ</t>
    </rPh>
    <rPh sb="28" eb="30">
      <t>シュウヨウ</t>
    </rPh>
    <rPh sb="30" eb="31">
      <t>ナド</t>
    </rPh>
    <phoneticPr fontId="2"/>
  </si>
  <si>
    <t>個別保険税額</t>
    <rPh sb="0" eb="2">
      <t>コベツ</t>
    </rPh>
    <rPh sb="2" eb="4">
      <t>ホケン</t>
    </rPh>
    <rPh sb="4" eb="5">
      <t>ゼイ</t>
    </rPh>
    <rPh sb="5" eb="6">
      <t>ガク</t>
    </rPh>
    <phoneticPr fontId="2"/>
  </si>
  <si>
    <t>調整後金額</t>
    <rPh sb="0" eb="3">
      <t>チョウセイゴ</t>
    </rPh>
    <rPh sb="3" eb="5">
      <t>キンガク</t>
    </rPh>
    <phoneticPr fontId="2"/>
  </si>
  <si>
    <t>平等割</t>
    <rPh sb="0" eb="3">
      <t>ビョウドウワリ</t>
    </rPh>
    <phoneticPr fontId="2"/>
  </si>
  <si>
    <t>計</t>
    <rPh sb="0" eb="1">
      <t>ケイ</t>
    </rPh>
    <phoneticPr fontId="2"/>
  </si>
  <si>
    <t>a</t>
    <phoneticPr fontId="2"/>
  </si>
  <si>
    <t>b</t>
    <phoneticPr fontId="2"/>
  </si>
  <si>
    <t>c</t>
    <phoneticPr fontId="2"/>
  </si>
  <si>
    <t>世帯全体(調整)</t>
    <rPh sb="0" eb="2">
      <t>セタイ</t>
    </rPh>
    <rPh sb="2" eb="4">
      <t>ゼンタイ</t>
    </rPh>
    <rPh sb="5" eb="7">
      <t>チョウセイ</t>
    </rPh>
    <phoneticPr fontId="2"/>
  </si>
  <si>
    <t>d</t>
    <phoneticPr fontId="2"/>
  </si>
  <si>
    <t>a+b+c+d</t>
    <phoneticPr fontId="2"/>
  </si>
  <si>
    <r>
      <t>※未就学児（小学校入学前の方）は「</t>
    </r>
    <r>
      <rPr>
        <sz val="20"/>
        <color rgb="FFFF0000"/>
        <rFont val="游ゴシック"/>
        <family val="3"/>
        <charset val="128"/>
        <scheme val="minor"/>
      </rPr>
      <t>１</t>
    </r>
    <r>
      <rPr>
        <sz val="20"/>
        <rFont val="游ゴシック"/>
        <family val="3"/>
        <charset val="128"/>
        <scheme val="minor"/>
      </rPr>
      <t>」</t>
    </r>
    <r>
      <rPr>
        <sz val="20"/>
        <color theme="1"/>
        <rFont val="游ゴシック"/>
        <family val="3"/>
        <charset val="128"/>
        <scheme val="minor"/>
      </rPr>
      <t>と入力してください。</t>
    </r>
    <rPh sb="1" eb="5">
      <t>ミシュウガクジ</t>
    </rPh>
    <rPh sb="6" eb="9">
      <t>ショウガッコウ</t>
    </rPh>
    <rPh sb="9" eb="12">
      <t>ニュウガクマエ</t>
    </rPh>
    <rPh sb="13" eb="14">
      <t>ホウ</t>
    </rPh>
    <rPh sb="20" eb="22">
      <t>ニュウリョク</t>
    </rPh>
    <phoneticPr fontId="2"/>
  </si>
  <si>
    <t>e</t>
    <phoneticPr fontId="2"/>
  </si>
  <si>
    <t>f</t>
    <phoneticPr fontId="2"/>
  </si>
  <si>
    <t>g</t>
    <phoneticPr fontId="2"/>
  </si>
  <si>
    <t>e＋f＋g+d</t>
    <phoneticPr fontId="2"/>
  </si>
  <si>
    <t>医療</t>
    <rPh sb="0" eb="2">
      <t>イリョウ</t>
    </rPh>
    <phoneticPr fontId="2"/>
  </si>
  <si>
    <t>後期</t>
    <rPh sb="0" eb="2">
      <t>コウキ</t>
    </rPh>
    <phoneticPr fontId="2"/>
  </si>
  <si>
    <t>介護</t>
    <rPh sb="0" eb="2">
      <t>カイゴ</t>
    </rPh>
    <phoneticPr fontId="2"/>
  </si>
  <si>
    <t>軽減判定者数</t>
    <rPh sb="0" eb="2">
      <t>ケイゲン</t>
    </rPh>
    <rPh sb="2" eb="5">
      <t>ハンテイシャ</t>
    </rPh>
    <rPh sb="5" eb="6">
      <t>スウ</t>
    </rPh>
    <phoneticPr fontId="4"/>
  </si>
  <si>
    <t xml:space="preserve">  ・専従者給与の方</t>
    <rPh sb="3" eb="8">
      <t>センジュウシャキュウヨ</t>
    </rPh>
    <rPh sb="9" eb="10">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</si>
</sst>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_);[Red]\(0\)"/>
    <numFmt numFmtId="179" formatCode="0_ "/>
    <numFmt numFmtId="180" formatCode="#,##0.0_ "/>
    <numFmt numFmtId="181" formatCode="#,##0_ ;[Red]\-#,##0\ "/>
  </numFmts>
  <fonts count="6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0"/>
      <color indexed="17"/>
      <name val="ＭＳ Ｐゴシック"/>
      <family val="3"/>
      <charset val="128"/>
    </font>
    <font>
      <sz val="6"/>
      <name val="ＭＳ Ｐゴシック"/>
      <family val="3"/>
      <charset val="128"/>
    </font>
    <font>
      <sz val="10"/>
      <name val="ＭＳ Ｐゴシック"/>
      <family val="3"/>
      <charset val="128"/>
    </font>
    <font>
      <sz val="10"/>
      <color indexed="17"/>
      <name val="ＭＳ Ｐゴシック"/>
      <family val="3"/>
      <charset val="128"/>
    </font>
    <font>
      <sz val="8"/>
      <color indexed="17"/>
      <name val="ＭＳ Ｐゴシック"/>
      <family val="3"/>
      <charset val="128"/>
    </font>
    <font>
      <sz val="11"/>
      <name val="ＭＳ Ｐゴシック"/>
      <family val="3"/>
      <charset val="128"/>
    </font>
    <font>
      <sz val="10"/>
      <color indexed="13"/>
      <name val="ＭＳ Ｐゴシック"/>
      <family val="3"/>
      <charset val="128"/>
    </font>
    <font>
      <b/>
      <sz val="10"/>
      <color indexed="45"/>
      <name val="ＭＳ Ｐゴシック"/>
      <family val="3"/>
      <charset val="128"/>
    </font>
    <font>
      <b/>
      <sz val="10"/>
      <name val="ＭＳ Ｐゴシック"/>
      <family val="3"/>
      <charset val="128"/>
    </font>
    <font>
      <sz val="10"/>
      <color indexed="48"/>
      <name val="ＭＳ Ｐゴシック"/>
      <family val="3"/>
      <charset val="128"/>
    </font>
    <font>
      <sz val="11"/>
      <color rgb="FFFF0000"/>
      <name val="ＭＳ Ｐゴシック"/>
      <family val="3"/>
      <charset val="128"/>
    </font>
    <font>
      <sz val="6"/>
      <name val="ＭＳ Ｐゴシック"/>
      <family val="2"/>
      <charset val="128"/>
    </font>
    <font>
      <sz val="10"/>
      <color rgb="FF008000"/>
      <name val="ＭＳ Ｐゴシック"/>
      <family val="3"/>
      <charset val="128"/>
    </font>
    <font>
      <sz val="11"/>
      <color indexed="81"/>
      <name val="HGPｺﾞｼｯｸE"/>
      <family val="3"/>
      <charset val="128"/>
    </font>
    <font>
      <sz val="16"/>
      <color theme="1"/>
      <name val="游ゴシック"/>
      <family val="2"/>
      <charset val="128"/>
      <scheme val="minor"/>
    </font>
    <font>
      <sz val="16"/>
      <color theme="1"/>
      <name val="游ゴシック"/>
      <family val="3"/>
      <charset val="128"/>
      <scheme val="minor"/>
    </font>
    <font>
      <sz val="22"/>
      <color theme="1"/>
      <name val="游ゴシック"/>
      <family val="2"/>
      <charset val="128"/>
      <scheme val="minor"/>
    </font>
    <font>
      <sz val="22"/>
      <color theme="1"/>
      <name val="游ゴシック"/>
      <family val="3"/>
      <charset val="128"/>
      <scheme val="minor"/>
    </font>
    <font>
      <sz val="14"/>
      <name val="HGP創英角ｺﾞｼｯｸUB"/>
      <family val="3"/>
      <charset val="128"/>
    </font>
    <font>
      <sz val="13"/>
      <name val="Arial"/>
      <family val="2"/>
    </font>
    <font>
      <b/>
      <sz val="11"/>
      <name val="ＭＳ Ｐゴシック"/>
      <family val="3"/>
      <charset val="128"/>
    </font>
    <font>
      <sz val="13"/>
      <color rgb="FFFF0000"/>
      <name val="Arial"/>
      <family val="2"/>
    </font>
    <font>
      <sz val="10"/>
      <color rgb="FFFF0000"/>
      <name val="ＭＳ Ｐゴシック"/>
      <family val="3"/>
      <charset val="128"/>
    </font>
    <font>
      <sz val="8"/>
      <name val="ＭＳ Ｐゴシック"/>
      <family val="3"/>
      <charset val="128"/>
    </font>
    <font>
      <sz val="9"/>
      <name val="ＭＳ Ｐゴシック"/>
      <family val="3"/>
      <charset val="128"/>
    </font>
    <font>
      <sz val="11"/>
      <name val="HG創英角ｺﾞｼｯｸUB"/>
      <family val="3"/>
      <charset val="128"/>
    </font>
    <font>
      <sz val="10"/>
      <name val="HG丸ｺﾞｼｯｸM-PRO"/>
      <family val="3"/>
      <charset val="128"/>
    </font>
    <font>
      <sz val="11"/>
      <name val="游ゴシック"/>
      <family val="3"/>
      <charset val="128"/>
      <scheme val="minor"/>
    </font>
    <font>
      <b/>
      <u/>
      <sz val="20"/>
      <color theme="1"/>
      <name val="游ゴシック"/>
      <family val="3"/>
      <charset val="128"/>
      <scheme val="minor"/>
    </font>
    <font>
      <sz val="11"/>
      <name val="游ゴシック"/>
      <family val="2"/>
      <charset val="128"/>
      <scheme val="minor"/>
    </font>
    <font>
      <sz val="16"/>
      <name val="游ゴシック"/>
      <family val="3"/>
      <charset val="128"/>
    </font>
    <font>
      <sz val="11"/>
      <color theme="1"/>
      <name val="ＭＳ Ｐゴシック"/>
      <family val="3"/>
      <charset val="128"/>
    </font>
    <font>
      <u/>
      <sz val="16"/>
      <color theme="1"/>
      <name val="游ゴシック"/>
      <family val="2"/>
      <charset val="128"/>
      <scheme val="minor"/>
    </font>
    <font>
      <u/>
      <sz val="16"/>
      <color theme="1"/>
      <name val="游ゴシック"/>
      <family val="3"/>
      <charset val="128"/>
      <scheme val="minor"/>
    </font>
    <font>
      <sz val="14"/>
      <color theme="1"/>
      <name val="游ゴシック"/>
      <family val="3"/>
      <charset val="128"/>
      <scheme val="minor"/>
    </font>
    <font>
      <sz val="16"/>
      <color theme="1"/>
      <name val="ＭＳ 明朝"/>
      <family val="1"/>
      <charset val="128"/>
    </font>
    <font>
      <sz val="16"/>
      <color rgb="FFFF0000"/>
      <name val="ＭＳ Ｐゴシック"/>
      <family val="3"/>
      <charset val="128"/>
    </font>
    <font>
      <b/>
      <u/>
      <sz val="18"/>
      <color rgb="FFFF0000"/>
      <name val="游ゴシック"/>
      <family val="3"/>
      <charset val="128"/>
      <scheme val="minor"/>
    </font>
    <font>
      <sz val="28"/>
      <color theme="1"/>
      <name val="游ゴシック"/>
      <family val="2"/>
      <charset val="128"/>
      <scheme val="minor"/>
    </font>
    <font>
      <sz val="28"/>
      <color theme="1"/>
      <name val="游ゴシック"/>
      <family val="3"/>
      <charset val="128"/>
      <scheme val="minor"/>
    </font>
    <font>
      <sz val="20"/>
      <color theme="1"/>
      <name val="游ゴシック"/>
      <family val="2"/>
      <charset val="128"/>
      <scheme val="minor"/>
    </font>
    <font>
      <b/>
      <u/>
      <sz val="20"/>
      <color rgb="FFFF0000"/>
      <name val="ＭＳ ゴシック"/>
      <family val="3"/>
      <charset val="128"/>
    </font>
    <font>
      <sz val="20"/>
      <color theme="1"/>
      <name val="游ゴシック"/>
      <family val="3"/>
      <charset val="128"/>
      <scheme val="minor"/>
    </font>
    <font>
      <b/>
      <sz val="20"/>
      <color theme="1"/>
      <name val="游ゴシック"/>
      <family val="3"/>
      <charset val="128"/>
      <scheme val="minor"/>
    </font>
    <font>
      <sz val="20"/>
      <color rgb="FFFF0000"/>
      <name val="游ゴシック"/>
      <family val="3"/>
      <charset val="128"/>
      <scheme val="minor"/>
    </font>
    <font>
      <sz val="20"/>
      <color theme="1"/>
      <name val="ＭＳ 明朝"/>
      <family val="1"/>
      <charset val="128"/>
    </font>
    <font>
      <sz val="20"/>
      <name val="游ゴシック"/>
      <family val="3"/>
      <charset val="128"/>
    </font>
    <font>
      <u val="double"/>
      <sz val="20"/>
      <color theme="1"/>
      <name val="游ゴシック"/>
      <family val="3"/>
      <charset val="128"/>
      <scheme val="minor"/>
    </font>
    <font>
      <b/>
      <sz val="20"/>
      <color rgb="FFFF0000"/>
      <name val="游ゴシック"/>
      <family val="3"/>
      <charset val="128"/>
      <scheme val="minor"/>
    </font>
    <font>
      <b/>
      <u/>
      <sz val="20"/>
      <color rgb="FFFF0000"/>
      <name val="游ゴシック"/>
      <family val="3"/>
      <charset val="128"/>
      <scheme val="minor"/>
    </font>
    <font>
      <u/>
      <sz val="20"/>
      <color theme="1"/>
      <name val="游ゴシック"/>
      <family val="3"/>
      <charset val="128"/>
      <scheme val="minor"/>
    </font>
    <font>
      <sz val="20"/>
      <color rgb="FF0000CC"/>
      <name val="游ゴシック"/>
      <family val="3"/>
      <charset val="128"/>
      <scheme val="minor"/>
    </font>
    <font>
      <b/>
      <u/>
      <sz val="22"/>
      <color rgb="FFFF0000"/>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20"/>
      <name val="游ゴシック"/>
      <family val="3"/>
      <charset val="128"/>
      <scheme val="minor"/>
    </font>
    <font>
      <sz val="18"/>
      <color theme="1"/>
      <name val="游ゴシック"/>
      <family val="2"/>
      <charset val="128"/>
      <scheme val="minor"/>
    </font>
    <font>
      <sz val="18"/>
      <color theme="1"/>
      <name val="游ゴシック"/>
      <family val="3"/>
      <charset val="128"/>
      <scheme val="minor"/>
    </font>
  </fonts>
  <fills count="20">
    <fill>
      <patternFill patternType="none"/>
    </fill>
    <fill>
      <patternFill patternType="gray125"/>
    </fill>
    <fill>
      <patternFill patternType="solid">
        <fgColor theme="9" tint="0.59999389629810485"/>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CCFFCC"/>
        <bgColor indexed="64"/>
      </patternFill>
    </fill>
    <fill>
      <patternFill patternType="solid">
        <fgColor rgb="FF92D050"/>
        <bgColor indexed="64"/>
      </patternFill>
    </fill>
    <fill>
      <patternFill patternType="solid">
        <fgColor rgb="FFFFCC99"/>
        <bgColor indexed="64"/>
      </patternFill>
    </fill>
    <fill>
      <patternFill patternType="solid">
        <fgColor theme="7" tint="0.39997558519241921"/>
        <bgColor indexed="64"/>
      </patternFill>
    </fill>
    <fill>
      <patternFill patternType="solid">
        <fgColor theme="9"/>
        <bgColor indexed="64"/>
      </patternFill>
    </fill>
    <fill>
      <patternFill patternType="solid">
        <fgColor rgb="FFFF66FF"/>
        <bgColor indexed="64"/>
      </patternFill>
    </fill>
    <fill>
      <patternFill patternType="solid">
        <fgColor rgb="FFFFFF99"/>
        <bgColor indexed="64"/>
      </patternFill>
    </fill>
    <fill>
      <patternFill patternType="solid">
        <fgColor rgb="FF66FFFF"/>
        <bgColor indexed="64"/>
      </patternFill>
    </fill>
    <fill>
      <patternFill patternType="solid">
        <fgColor rgb="FFE7E6E6"/>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xf numFmtId="9" fontId="1"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horizontal="center" vertical="center"/>
    </xf>
    <xf numFmtId="0" fontId="3" fillId="4" borderId="0" xfId="0" applyFont="1" applyFill="1">
      <alignment vertical="center"/>
    </xf>
    <xf numFmtId="0" fontId="5" fillId="4" borderId="0" xfId="0" applyFont="1" applyFill="1">
      <alignment vertical="center"/>
    </xf>
    <xf numFmtId="0" fontId="6" fillId="4" borderId="0" xfId="0" applyFont="1" applyFill="1">
      <alignment vertical="center"/>
    </xf>
    <xf numFmtId="0" fontId="5" fillId="4" borderId="14" xfId="0" applyFont="1" applyFill="1" applyBorder="1">
      <alignment vertical="center"/>
    </xf>
    <xf numFmtId="0" fontId="5" fillId="4" borderId="14" xfId="0" applyFont="1" applyFill="1" applyBorder="1" applyAlignment="1">
      <alignment horizontal="right" vertical="center"/>
    </xf>
    <xf numFmtId="0" fontId="5" fillId="4" borderId="14" xfId="0" applyFont="1" applyFill="1" applyBorder="1" applyAlignment="1">
      <alignment horizontal="center" vertical="center"/>
    </xf>
    <xf numFmtId="0" fontId="9" fillId="4" borderId="0" xfId="0" applyFont="1" applyFill="1">
      <alignment vertical="center"/>
    </xf>
    <xf numFmtId="0" fontId="10" fillId="4" borderId="0" xfId="0" applyFont="1" applyFill="1">
      <alignment vertical="center"/>
    </xf>
    <xf numFmtId="0" fontId="11" fillId="4" borderId="0" xfId="0" applyFont="1" applyFill="1">
      <alignment vertical="center"/>
    </xf>
    <xf numFmtId="0" fontId="5" fillId="4" borderId="15" xfId="0" applyFont="1" applyFill="1" applyBorder="1">
      <alignment vertical="center"/>
    </xf>
    <xf numFmtId="0" fontId="5" fillId="4" borderId="0" xfId="0" applyFont="1" applyFill="1" applyAlignment="1">
      <alignment horizontal="right" vertical="center"/>
    </xf>
    <xf numFmtId="0" fontId="12" fillId="4" borderId="0" xfId="0" applyFont="1" applyFill="1">
      <alignment vertical="center"/>
    </xf>
    <xf numFmtId="0" fontId="12" fillId="0" borderId="0" xfId="0" applyFont="1">
      <alignment vertical="center"/>
    </xf>
    <xf numFmtId="0" fontId="7" fillId="4" borderId="0" xfId="0" applyFont="1" applyFill="1">
      <alignment vertical="center"/>
    </xf>
    <xf numFmtId="38" fontId="0" fillId="0" borderId="0" xfId="0" applyNumberFormat="1">
      <alignment vertical="center"/>
    </xf>
    <xf numFmtId="0" fontId="6" fillId="4" borderId="1" xfId="0" applyFont="1" applyFill="1" applyBorder="1">
      <alignment vertical="center"/>
    </xf>
    <xf numFmtId="38" fontId="5" fillId="6" borderId="1" xfId="2" applyFont="1" applyFill="1" applyBorder="1" applyAlignment="1" applyProtection="1">
      <alignment vertical="center"/>
    </xf>
    <xf numFmtId="38" fontId="0" fillId="6" borderId="0" xfId="0" applyNumberFormat="1" applyFill="1">
      <alignment vertical="center"/>
    </xf>
    <xf numFmtId="38" fontId="5" fillId="6" borderId="8" xfId="2" applyFont="1" applyFill="1" applyBorder="1" applyAlignment="1" applyProtection="1">
      <alignment vertical="center"/>
    </xf>
    <xf numFmtId="0" fontId="6" fillId="4" borderId="0" xfId="0" applyFont="1" applyFill="1" applyAlignment="1">
      <alignment vertical="center" shrinkToFit="1"/>
    </xf>
    <xf numFmtId="0" fontId="6" fillId="4" borderId="0" xfId="0" applyFont="1" applyFill="1" applyAlignment="1">
      <alignment horizontal="center" vertical="center"/>
    </xf>
    <xf numFmtId="0" fontId="5" fillId="4" borderId="1" xfId="0" applyFont="1" applyFill="1" applyBorder="1" applyAlignment="1">
      <alignment horizontal="right" vertical="center"/>
    </xf>
    <xf numFmtId="0" fontId="5" fillId="4" borderId="1" xfId="0" applyFont="1" applyFill="1" applyBorder="1" applyAlignment="1">
      <alignment horizontal="center" vertical="center"/>
    </xf>
    <xf numFmtId="38" fontId="5" fillId="7" borderId="1" xfId="2" applyFont="1" applyFill="1" applyBorder="1" applyAlignment="1" applyProtection="1">
      <alignment horizontal="center" vertical="center"/>
    </xf>
    <xf numFmtId="38" fontId="5" fillId="7" borderId="16" xfId="0" applyNumberFormat="1" applyFont="1" applyFill="1" applyBorder="1" applyAlignment="1">
      <alignment horizontal="center" vertical="center"/>
    </xf>
    <xf numFmtId="0" fontId="15" fillId="4" borderId="0" xfId="0" applyFont="1" applyFill="1" applyAlignment="1">
      <alignment horizontal="center" vertical="center" shrinkToFit="1"/>
    </xf>
    <xf numFmtId="0" fontId="15" fillId="4" borderId="15" xfId="0" applyFont="1" applyFill="1" applyBorder="1" applyAlignment="1">
      <alignment horizontal="center" vertical="center"/>
    </xf>
    <xf numFmtId="0" fontId="6" fillId="4" borderId="15" xfId="0" applyFont="1" applyFill="1" applyBorder="1" applyAlignment="1">
      <alignment vertical="center" shrinkToFit="1"/>
    </xf>
    <xf numFmtId="0" fontId="5" fillId="0" borderId="14" xfId="0" applyFont="1" applyBorder="1" applyAlignment="1">
      <alignment horizontal="center" vertical="center"/>
    </xf>
    <xf numFmtId="0" fontId="6" fillId="0" borderId="1" xfId="0" applyFont="1" applyBorder="1">
      <alignment vertical="center"/>
    </xf>
    <xf numFmtId="0" fontId="5" fillId="4" borderId="7" xfId="0" applyFont="1" applyFill="1" applyBorder="1" applyAlignment="1">
      <alignment horizontal="center" vertical="center"/>
    </xf>
    <xf numFmtId="0" fontId="5" fillId="0" borderId="7" xfId="0" applyFont="1" applyBorder="1" applyAlignment="1">
      <alignment horizontal="center" vertical="center"/>
    </xf>
    <xf numFmtId="38" fontId="5" fillId="5" borderId="1" xfId="2" applyFont="1" applyFill="1" applyBorder="1" applyAlignment="1" applyProtection="1">
      <alignment horizontal="center" vertical="center"/>
    </xf>
    <xf numFmtId="38" fontId="5" fillId="5" borderId="0" xfId="0" applyNumberFormat="1" applyFont="1" applyFill="1" applyAlignment="1">
      <alignment horizontal="center" vertical="center"/>
    </xf>
    <xf numFmtId="0" fontId="6" fillId="4" borderId="0" xfId="0" applyFont="1" applyFill="1" applyAlignment="1">
      <alignment horizontal="center" vertical="center" shrinkToFit="1"/>
    </xf>
    <xf numFmtId="38" fontId="5" fillId="4" borderId="1" xfId="2" applyFont="1" applyFill="1" applyBorder="1" applyAlignment="1" applyProtection="1">
      <alignment vertical="center"/>
    </xf>
    <xf numFmtId="0" fontId="8" fillId="0" borderId="0" xfId="0" applyFont="1">
      <alignment vertical="center"/>
    </xf>
    <xf numFmtId="0" fontId="21" fillId="0" borderId="0" xfId="0" applyFont="1">
      <alignment vertical="center"/>
    </xf>
    <xf numFmtId="0" fontId="8" fillId="8" borderId="6" xfId="0" applyFont="1" applyFill="1" applyBorder="1">
      <alignment vertical="center"/>
    </xf>
    <xf numFmtId="0" fontId="8" fillId="0" borderId="0" xfId="0" applyFont="1" applyAlignment="1">
      <alignment horizontal="center" vertical="center"/>
    </xf>
    <xf numFmtId="0" fontId="5" fillId="0" borderId="0" xfId="0" applyFont="1" applyAlignment="1">
      <alignment vertical="top"/>
    </xf>
    <xf numFmtId="0" fontId="8" fillId="0" borderId="8" xfId="0" applyFont="1" applyBorder="1">
      <alignment vertical="center"/>
    </xf>
    <xf numFmtId="0" fontId="25" fillId="0" borderId="0" xfId="0" applyFont="1" applyAlignment="1">
      <alignment vertical="top"/>
    </xf>
    <xf numFmtId="176" fontId="0" fillId="0" borderId="0" xfId="0" applyNumberFormat="1">
      <alignment vertical="center"/>
    </xf>
    <xf numFmtId="0" fontId="5" fillId="0" borderId="1"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top"/>
    </xf>
    <xf numFmtId="0" fontId="28" fillId="0" borderId="0" xfId="0" applyFont="1">
      <alignment vertical="center"/>
    </xf>
    <xf numFmtId="0" fontId="8" fillId="0" borderId="0" xfId="0" applyFont="1" applyAlignment="1">
      <alignment vertical="top"/>
    </xf>
    <xf numFmtId="0" fontId="8" fillId="0" borderId="3" xfId="0" applyFont="1" applyBorder="1">
      <alignment vertical="center"/>
    </xf>
    <xf numFmtId="0" fontId="8" fillId="0" borderId="16" xfId="0" applyFont="1" applyBorder="1">
      <alignment vertical="center"/>
    </xf>
    <xf numFmtId="0" fontId="8" fillId="0" borderId="22" xfId="0" applyFont="1" applyBorder="1">
      <alignment vertical="center"/>
    </xf>
    <xf numFmtId="0" fontId="8" fillId="0" borderId="32" xfId="0" applyFont="1" applyBorder="1">
      <alignment vertical="center"/>
    </xf>
    <xf numFmtId="0" fontId="5" fillId="0" borderId="0" xfId="0" applyFont="1">
      <alignment vertical="center"/>
    </xf>
    <xf numFmtId="0" fontId="8" fillId="0" borderId="48" xfId="0" applyFont="1" applyBorder="1">
      <alignment vertical="center"/>
    </xf>
    <xf numFmtId="176" fontId="8" fillId="0" borderId="0" xfId="0" applyNumberFormat="1" applyFont="1">
      <alignment vertical="center"/>
    </xf>
    <xf numFmtId="179" fontId="8" fillId="0" borderId="0" xfId="0" applyNumberFormat="1" applyFont="1" applyAlignment="1">
      <alignment horizontal="right" vertical="center"/>
    </xf>
    <xf numFmtId="179" fontId="8" fillId="0" borderId="0" xfId="0" applyNumberFormat="1" applyFont="1" applyAlignment="1">
      <alignment horizontal="center" vertical="center"/>
    </xf>
    <xf numFmtId="0" fontId="29" fillId="0" borderId="0" xfId="0" applyFont="1" applyAlignment="1">
      <alignment horizontal="center" vertical="center"/>
    </xf>
    <xf numFmtId="0" fontId="5" fillId="0" borderId="0" xfId="0" applyFont="1" applyAlignment="1">
      <alignment horizontal="right" vertical="center"/>
    </xf>
    <xf numFmtId="0" fontId="8" fillId="0" borderId="38" xfId="0" applyFont="1" applyBorder="1">
      <alignment vertical="center"/>
    </xf>
    <xf numFmtId="0" fontId="8" fillId="0" borderId="12" xfId="0" applyFont="1" applyBorder="1">
      <alignment vertical="center"/>
    </xf>
    <xf numFmtId="0" fontId="5" fillId="0" borderId="0" xfId="0" applyFont="1" applyProtection="1">
      <alignment vertical="center"/>
      <protection hidden="1"/>
    </xf>
    <xf numFmtId="176" fontId="0" fillId="0" borderId="0" xfId="0" applyNumberForma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38" fontId="0" fillId="0" borderId="0" xfId="1" applyFont="1" applyFill="1" applyBorder="1">
      <alignment vertical="center"/>
    </xf>
    <xf numFmtId="0" fontId="13" fillId="0" borderId="0" xfId="0" applyFont="1" applyAlignment="1">
      <alignment vertical="center" shrinkToFit="1"/>
    </xf>
    <xf numFmtId="0" fontId="0" fillId="0" borderId="0" xfId="0" applyAlignment="1">
      <alignment vertical="center" shrinkToFit="1"/>
    </xf>
    <xf numFmtId="181" fontId="8" fillId="0" borderId="0" xfId="1" applyNumberFormat="1" applyFont="1" applyFill="1" applyBorder="1" applyAlignment="1">
      <alignment vertical="center"/>
    </xf>
    <xf numFmtId="0" fontId="8" fillId="0" borderId="48" xfId="0" applyFont="1" applyBorder="1" applyAlignment="1">
      <alignment horizontal="center" vertical="center"/>
    </xf>
    <xf numFmtId="0" fontId="8" fillId="0" borderId="22" xfId="0" applyFont="1" applyBorder="1" applyAlignment="1">
      <alignment horizontal="center" vertical="center"/>
    </xf>
    <xf numFmtId="176" fontId="30" fillId="0" borderId="0" xfId="0" applyNumberFormat="1" applyFont="1">
      <alignment vertical="center"/>
    </xf>
    <xf numFmtId="0" fontId="0" fillId="7" borderId="0" xfId="0" applyFill="1">
      <alignment vertical="center"/>
    </xf>
    <xf numFmtId="0" fontId="25" fillId="7" borderId="0" xfId="0" applyFont="1" applyFill="1">
      <alignment vertical="center"/>
    </xf>
    <xf numFmtId="0" fontId="5" fillId="15" borderId="1" xfId="0" applyFont="1" applyFill="1" applyBorder="1" applyAlignment="1">
      <alignment horizontal="center" vertical="center"/>
    </xf>
    <xf numFmtId="0" fontId="8" fillId="0" borderId="6" xfId="0" applyFont="1" applyBorder="1">
      <alignment vertical="center"/>
    </xf>
    <xf numFmtId="0" fontId="5" fillId="16" borderId="37" xfId="0" applyFont="1" applyFill="1" applyBorder="1" applyAlignment="1">
      <alignment horizontal="center" vertical="center"/>
    </xf>
    <xf numFmtId="0" fontId="5" fillId="0" borderId="0" xfId="0" applyFont="1" applyAlignment="1">
      <alignment horizontal="center" vertical="center"/>
    </xf>
    <xf numFmtId="0" fontId="23" fillId="0" borderId="0" xfId="0" applyFont="1">
      <alignment vertical="center"/>
    </xf>
    <xf numFmtId="38" fontId="8" fillId="0" borderId="0" xfId="1" applyFont="1" applyAlignment="1">
      <alignment vertical="center"/>
    </xf>
    <xf numFmtId="0" fontId="8" fillId="15" borderId="1" xfId="0" applyFont="1" applyFill="1" applyBorder="1">
      <alignment vertical="center"/>
    </xf>
    <xf numFmtId="0" fontId="5" fillId="15" borderId="2" xfId="0" applyFont="1" applyFill="1" applyBorder="1" applyAlignment="1">
      <alignment horizontal="center" vertical="center"/>
    </xf>
    <xf numFmtId="0" fontId="8" fillId="15" borderId="20" xfId="0" applyFont="1" applyFill="1" applyBorder="1">
      <alignment vertical="center"/>
    </xf>
    <xf numFmtId="0" fontId="0" fillId="0" borderId="1" xfId="0" applyBorder="1">
      <alignment vertical="center"/>
    </xf>
    <xf numFmtId="0" fontId="0" fillId="0" borderId="39" xfId="0" applyBorder="1">
      <alignment vertical="center"/>
    </xf>
    <xf numFmtId="0" fontId="5" fillId="16" borderId="1" xfId="0" applyFont="1" applyFill="1" applyBorder="1" applyAlignment="1">
      <alignment horizontal="center" vertical="center"/>
    </xf>
    <xf numFmtId="0" fontId="8" fillId="16" borderId="1" xfId="0" applyFont="1" applyFill="1" applyBorder="1">
      <alignment vertical="center"/>
    </xf>
    <xf numFmtId="0" fontId="25" fillId="0" borderId="0" xfId="0" applyFont="1">
      <alignment vertical="center"/>
    </xf>
    <xf numFmtId="0" fontId="8" fillId="0" borderId="66" xfId="0" applyFont="1" applyBorder="1">
      <alignment vertical="center"/>
    </xf>
    <xf numFmtId="0" fontId="17" fillId="0" borderId="0" xfId="0" applyFont="1">
      <alignment vertical="center"/>
    </xf>
    <xf numFmtId="0" fontId="38" fillId="0" borderId="0" xfId="0" applyFont="1">
      <alignment vertical="center"/>
    </xf>
    <xf numFmtId="176" fontId="33" fillId="3" borderId="0" xfId="0" applyNumberFormat="1" applyFont="1" applyFill="1" applyAlignment="1"/>
    <xf numFmtId="0" fontId="39" fillId="4" borderId="0" xfId="0" applyFont="1" applyFill="1" applyAlignment="1">
      <alignment horizontal="center" vertical="center"/>
    </xf>
    <xf numFmtId="176" fontId="33" fillId="3" borderId="0" xfId="0" applyNumberFormat="1" applyFont="1" applyFill="1">
      <alignment vertical="center"/>
    </xf>
    <xf numFmtId="38" fontId="8" fillId="0" borderId="0" xfId="1" applyFont="1" applyFill="1" applyBorder="1" applyAlignment="1">
      <alignment horizontal="center" vertical="center"/>
    </xf>
    <xf numFmtId="38" fontId="34" fillId="0" borderId="0" xfId="1" applyFont="1" applyBorder="1" applyAlignment="1">
      <alignment horizontal="center" vertical="center"/>
    </xf>
    <xf numFmtId="38" fontId="34" fillId="0" borderId="0" xfId="1" applyFont="1" applyFill="1" applyBorder="1" applyAlignment="1">
      <alignment horizontal="center" vertical="center"/>
    </xf>
    <xf numFmtId="0" fontId="18" fillId="0" borderId="0" xfId="0" applyFont="1">
      <alignment vertical="center"/>
    </xf>
    <xf numFmtId="38" fontId="0" fillId="0" borderId="0" xfId="1" applyFont="1" applyAlignment="1">
      <alignment vertical="center"/>
    </xf>
    <xf numFmtId="38" fontId="31" fillId="18" borderId="0" xfId="1" applyFont="1" applyFill="1" applyAlignment="1">
      <alignment horizontal="center" vertical="center"/>
    </xf>
    <xf numFmtId="0" fontId="43" fillId="0" borderId="0" xfId="0" applyFont="1">
      <alignment vertical="center"/>
    </xf>
    <xf numFmtId="0" fontId="43" fillId="17" borderId="65" xfId="0" applyFont="1" applyFill="1" applyBorder="1" applyAlignment="1">
      <alignment horizontal="center" vertical="center"/>
    </xf>
    <xf numFmtId="0" fontId="44" fillId="0" borderId="0" xfId="0" applyFont="1">
      <alignment vertical="center"/>
    </xf>
    <xf numFmtId="0" fontId="45" fillId="0" borderId="0" xfId="0" applyFont="1" applyAlignment="1">
      <alignment horizontal="center" vertical="center"/>
    </xf>
    <xf numFmtId="0" fontId="43" fillId="0" borderId="0" xfId="0" applyFont="1" applyAlignment="1">
      <alignment horizontal="center" vertical="center"/>
    </xf>
    <xf numFmtId="0" fontId="46" fillId="0" borderId="1" xfId="0" applyFont="1" applyBorder="1" applyAlignment="1">
      <alignment horizontal="center" vertical="center"/>
    </xf>
    <xf numFmtId="0" fontId="45" fillId="0" borderId="0" xfId="0" applyFont="1">
      <alignment vertical="center"/>
    </xf>
    <xf numFmtId="0" fontId="45" fillId="0" borderId="0" xfId="0" applyFont="1" applyAlignment="1">
      <alignment horizontal="left"/>
    </xf>
    <xf numFmtId="0" fontId="45" fillId="0" borderId="0" xfId="0" applyFont="1" applyAlignment="1"/>
    <xf numFmtId="0" fontId="43" fillId="2" borderId="9" xfId="0" applyFont="1" applyFill="1" applyBorder="1" applyAlignment="1">
      <alignment horizontal="center" vertical="center"/>
    </xf>
    <xf numFmtId="0" fontId="48" fillId="0" borderId="0" xfId="0" applyFont="1" applyAlignment="1">
      <alignment vertical="center" wrapText="1"/>
    </xf>
    <xf numFmtId="0" fontId="48" fillId="0" borderId="0" xfId="0" applyFont="1">
      <alignment vertical="center"/>
    </xf>
    <xf numFmtId="177" fontId="49" fillId="0" borderId="0" xfId="0" applyNumberFormat="1" applyFont="1">
      <alignment vertical="center"/>
    </xf>
    <xf numFmtId="176" fontId="49" fillId="0" borderId="0" xfId="0" applyNumberFormat="1" applyFont="1">
      <alignment vertical="center"/>
    </xf>
    <xf numFmtId="0" fontId="31" fillId="0" borderId="0" xfId="0" applyFont="1" applyAlignment="1">
      <alignment horizontal="center" vertical="center"/>
    </xf>
    <xf numFmtId="0" fontId="43" fillId="0" borderId="0" xfId="0" applyFont="1" applyAlignment="1">
      <alignment horizontal="left" vertical="center"/>
    </xf>
    <xf numFmtId="38" fontId="46" fillId="0" borderId="0" xfId="1" applyFont="1" applyAlignment="1">
      <alignment horizontal="center" vertical="center"/>
    </xf>
    <xf numFmtId="0" fontId="45" fillId="2" borderId="1" xfId="0" applyFont="1" applyFill="1" applyBorder="1" applyAlignment="1">
      <alignment vertical="center" shrinkToFit="1"/>
    </xf>
    <xf numFmtId="0" fontId="51" fillId="0" borderId="0" xfId="0" applyFont="1">
      <alignment vertical="center"/>
    </xf>
    <xf numFmtId="0" fontId="47" fillId="0" borderId="0" xfId="0" applyFont="1">
      <alignment vertical="center"/>
    </xf>
    <xf numFmtId="38" fontId="45" fillId="0" borderId="2" xfId="0" applyNumberFormat="1" applyFont="1" applyBorder="1" applyAlignment="1">
      <alignment horizontal="center" vertical="center"/>
    </xf>
    <xf numFmtId="38" fontId="45" fillId="0" borderId="1" xfId="0" applyNumberFormat="1" applyFont="1" applyBorder="1" applyAlignment="1">
      <alignment horizontal="center" vertical="center"/>
    </xf>
    <xf numFmtId="38" fontId="43" fillId="0" borderId="1" xfId="1" applyFont="1" applyBorder="1" applyAlignment="1">
      <alignment horizontal="center" vertical="center"/>
    </xf>
    <xf numFmtId="0" fontId="43" fillId="2" borderId="1" xfId="0" applyFont="1" applyFill="1" applyBorder="1" applyAlignment="1">
      <alignment horizontal="center" vertical="center"/>
    </xf>
    <xf numFmtId="0" fontId="45" fillId="2" borderId="1" xfId="0" applyFont="1" applyFill="1" applyBorder="1" applyAlignment="1">
      <alignment horizontal="center" vertical="center"/>
    </xf>
    <xf numFmtId="0" fontId="35" fillId="0" borderId="0" xfId="0" applyFont="1">
      <alignment vertical="center"/>
    </xf>
    <xf numFmtId="0" fontId="36" fillId="0" borderId="0" xfId="0" applyFont="1">
      <alignment vertical="center"/>
    </xf>
    <xf numFmtId="0" fontId="52" fillId="0" borderId="0" xfId="0" applyFont="1" applyAlignment="1">
      <alignment vertical="center" wrapText="1"/>
    </xf>
    <xf numFmtId="0" fontId="53" fillId="0" borderId="0" xfId="0" applyFont="1">
      <alignment vertical="center"/>
    </xf>
    <xf numFmtId="38" fontId="43" fillId="0" borderId="1" xfId="0" applyNumberFormat="1" applyFont="1" applyBorder="1" applyAlignment="1">
      <alignment horizontal="center" vertical="center"/>
    </xf>
    <xf numFmtId="38" fontId="45" fillId="0" borderId="73" xfId="0" applyNumberFormat="1" applyFont="1" applyBorder="1">
      <alignment vertical="center"/>
    </xf>
    <xf numFmtId="0" fontId="40" fillId="0" borderId="0" xfId="0" applyFont="1" applyAlignment="1">
      <alignment vertical="center" wrapText="1"/>
    </xf>
    <xf numFmtId="38" fontId="45" fillId="0" borderId="20" xfId="0" applyNumberFormat="1" applyFont="1" applyBorder="1" applyAlignment="1">
      <alignment horizontal="center" vertical="center"/>
    </xf>
    <xf numFmtId="38" fontId="46" fillId="18" borderId="1" xfId="0" applyNumberFormat="1" applyFont="1" applyFill="1" applyBorder="1" applyAlignment="1">
      <alignment horizontal="center" vertical="center"/>
    </xf>
    <xf numFmtId="38" fontId="57" fillId="0" borderId="3" xfId="0" applyNumberFormat="1" applyFont="1" applyBorder="1" applyAlignment="1">
      <alignment horizontal="center" vertical="center"/>
    </xf>
    <xf numFmtId="0" fontId="56" fillId="0" borderId="0" xfId="0" applyFont="1" applyAlignment="1">
      <alignment horizontal="center" vertical="center"/>
    </xf>
    <xf numFmtId="0" fontId="56" fillId="0" borderId="0" xfId="0" applyFont="1">
      <alignment vertical="center"/>
    </xf>
    <xf numFmtId="38" fontId="56" fillId="0" borderId="2" xfId="0" applyNumberFormat="1" applyFont="1" applyBorder="1" applyAlignment="1">
      <alignment horizontal="center" vertical="center"/>
    </xf>
    <xf numFmtId="38" fontId="56" fillId="0" borderId="0" xfId="0" applyNumberFormat="1" applyFont="1" applyAlignment="1">
      <alignment horizontal="center" vertical="center"/>
    </xf>
    <xf numFmtId="38" fontId="45" fillId="0" borderId="0" xfId="0" applyNumberFormat="1" applyFont="1" applyAlignment="1">
      <alignment horizontal="center" vertical="center"/>
    </xf>
    <xf numFmtId="38" fontId="56" fillId="0" borderId="0" xfId="0" applyNumberFormat="1" applyFont="1">
      <alignment vertical="center"/>
    </xf>
    <xf numFmtId="38" fontId="45" fillId="0" borderId="0" xfId="0" applyNumberFormat="1" applyFont="1">
      <alignment vertical="center"/>
    </xf>
    <xf numFmtId="0" fontId="59" fillId="0" borderId="0" xfId="0" applyFont="1" applyAlignment="1">
      <alignment horizontal="center" vertical="center"/>
    </xf>
    <xf numFmtId="0" fontId="60" fillId="0" borderId="0" xfId="0" applyFont="1" applyAlignment="1">
      <alignment horizontal="center" vertical="center"/>
    </xf>
    <xf numFmtId="0" fontId="55" fillId="0" borderId="0" xfId="0" applyFont="1" applyAlignment="1">
      <alignment vertical="center" wrapText="1"/>
    </xf>
    <xf numFmtId="0" fontId="55" fillId="0" borderId="0" xfId="0" applyFont="1">
      <alignment vertical="center"/>
    </xf>
    <xf numFmtId="176" fontId="54" fillId="0" borderId="8" xfId="0" applyNumberFormat="1" applyFont="1" applyBorder="1" applyAlignment="1">
      <alignment horizontal="center" vertical="center"/>
    </xf>
    <xf numFmtId="176" fontId="43" fillId="17" borderId="21" xfId="0" applyNumberFormat="1" applyFont="1" applyFill="1" applyBorder="1" applyAlignment="1" applyProtection="1">
      <alignment horizontal="center" vertical="center"/>
      <protection locked="0"/>
    </xf>
    <xf numFmtId="176" fontId="43" fillId="17" borderId="24" xfId="0" applyNumberFormat="1" applyFont="1" applyFill="1" applyBorder="1" applyAlignment="1" applyProtection="1">
      <alignment horizontal="center" vertical="center"/>
      <protection locked="0"/>
    </xf>
    <xf numFmtId="176" fontId="43" fillId="17" borderId="21" xfId="1" applyNumberFormat="1" applyFont="1" applyFill="1" applyBorder="1" applyAlignment="1" applyProtection="1">
      <alignment horizontal="center" vertical="center"/>
      <protection locked="0"/>
    </xf>
    <xf numFmtId="176" fontId="43" fillId="17" borderId="24" xfId="1" applyNumberFormat="1" applyFont="1" applyFill="1" applyBorder="1" applyAlignment="1" applyProtection="1">
      <alignment horizontal="center" vertical="center"/>
      <protection locked="0"/>
    </xf>
    <xf numFmtId="0" fontId="17" fillId="0" borderId="0" xfId="0" applyFont="1" applyAlignment="1">
      <alignment horizontal="left" vertical="center"/>
    </xf>
    <xf numFmtId="0" fontId="18" fillId="0" borderId="0" xfId="0" applyFont="1" applyAlignment="1">
      <alignment horizontal="left" vertical="center"/>
    </xf>
    <xf numFmtId="0" fontId="45" fillId="2" borderId="3" xfId="0" applyFont="1" applyFill="1" applyBorder="1" applyAlignment="1">
      <alignment horizontal="center" vertical="center"/>
    </xf>
    <xf numFmtId="0" fontId="45" fillId="2" borderId="16" xfId="0" applyFont="1" applyFill="1" applyBorder="1" applyAlignment="1">
      <alignment horizontal="center" vertical="center"/>
    </xf>
    <xf numFmtId="0" fontId="43" fillId="2" borderId="1" xfId="0" applyFont="1" applyFill="1" applyBorder="1" applyAlignment="1">
      <alignment horizontal="center" vertical="center"/>
    </xf>
    <xf numFmtId="0" fontId="45" fillId="2" borderId="1" xfId="0" applyFont="1" applyFill="1" applyBorder="1" applyAlignment="1">
      <alignment horizontal="center" vertical="center"/>
    </xf>
    <xf numFmtId="0" fontId="43" fillId="2" borderId="2" xfId="0" applyFont="1" applyFill="1" applyBorder="1" applyAlignment="1">
      <alignment horizontal="center" vertical="center" shrinkToFit="1"/>
    </xf>
    <xf numFmtId="0" fontId="43" fillId="2" borderId="9" xfId="0" applyFont="1" applyFill="1" applyBorder="1" applyAlignment="1">
      <alignment horizontal="center" vertical="center" shrinkToFit="1"/>
    </xf>
    <xf numFmtId="177" fontId="43" fillId="0" borderId="2" xfId="0" applyNumberFormat="1" applyFont="1" applyBorder="1" applyAlignment="1">
      <alignment horizontal="center" vertical="center"/>
    </xf>
    <xf numFmtId="177" fontId="43" fillId="0" borderId="20" xfId="0" applyNumberFormat="1" applyFont="1" applyBorder="1" applyAlignment="1">
      <alignment horizontal="center" vertical="center"/>
    </xf>
    <xf numFmtId="0" fontId="43" fillId="0" borderId="0" xfId="0" applyFont="1" applyAlignment="1">
      <alignment horizontal="center" vertical="center"/>
    </xf>
    <xf numFmtId="0" fontId="45" fillId="0" borderId="0" xfId="0" applyFont="1" applyAlignment="1">
      <alignment horizontal="center" vertical="center"/>
    </xf>
    <xf numFmtId="0" fontId="46" fillId="0" borderId="1" xfId="0" applyFont="1" applyBorder="1" applyAlignment="1">
      <alignment horizontal="center" vertical="center"/>
    </xf>
    <xf numFmtId="0" fontId="43" fillId="2" borderId="4" xfId="0" applyFont="1" applyFill="1" applyBorder="1" applyAlignment="1">
      <alignment horizontal="center" vertical="center" wrapText="1"/>
    </xf>
    <xf numFmtId="0" fontId="43" fillId="2" borderId="31"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3" fillId="2" borderId="20" xfId="0" applyFont="1" applyFill="1" applyBorder="1" applyAlignment="1">
      <alignment horizontal="center" vertical="center" wrapText="1"/>
    </xf>
    <xf numFmtId="0" fontId="43" fillId="2" borderId="7" xfId="0" applyFont="1" applyFill="1" applyBorder="1" applyAlignment="1">
      <alignment horizontal="center" vertical="center"/>
    </xf>
    <xf numFmtId="0" fontId="43" fillId="2" borderId="14" xfId="0" applyFont="1" applyFill="1" applyBorder="1" applyAlignment="1">
      <alignment horizontal="center" vertical="center"/>
    </xf>
    <xf numFmtId="0" fontId="43" fillId="2" borderId="8" xfId="0" applyFont="1" applyFill="1" applyBorder="1" applyAlignment="1">
      <alignment horizontal="center" vertical="center"/>
    </xf>
    <xf numFmtId="0" fontId="43" fillId="2" borderId="20" xfId="0" applyFont="1" applyFill="1" applyBorder="1" applyAlignment="1">
      <alignment horizontal="center" vertical="center"/>
    </xf>
    <xf numFmtId="0" fontId="43" fillId="2" borderId="1"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14" xfId="0" applyFont="1" applyBorder="1" applyAlignment="1">
      <alignment horizontal="center" vertical="center"/>
    </xf>
    <xf numFmtId="0" fontId="46" fillId="0" borderId="8" xfId="0" applyFont="1" applyBorder="1" applyAlignment="1">
      <alignment horizontal="center" vertical="center"/>
    </xf>
    <xf numFmtId="0" fontId="43" fillId="2" borderId="3" xfId="0" applyFont="1" applyFill="1" applyBorder="1" applyAlignment="1">
      <alignment horizontal="center" vertical="center"/>
    </xf>
    <xf numFmtId="0" fontId="43" fillId="2" borderId="22"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23" xfId="0" applyFont="1" applyFill="1" applyBorder="1" applyAlignment="1">
      <alignment horizontal="center" vertical="center"/>
    </xf>
    <xf numFmtId="0" fontId="43" fillId="17" borderId="21" xfId="0" applyFont="1" applyFill="1" applyBorder="1" applyAlignment="1" applyProtection="1">
      <alignment horizontal="center" vertical="center"/>
      <protection locked="0"/>
    </xf>
    <xf numFmtId="0" fontId="43" fillId="17" borderId="24" xfId="0" applyFont="1" applyFill="1" applyBorder="1" applyAlignment="1" applyProtection="1">
      <alignment horizontal="center" vertical="center"/>
      <protection locked="0"/>
    </xf>
    <xf numFmtId="176" fontId="49" fillId="0" borderId="30" xfId="0" applyNumberFormat="1" applyFont="1" applyBorder="1" applyAlignment="1">
      <alignment horizontal="center" vertical="center"/>
    </xf>
    <xf numFmtId="176" fontId="49" fillId="0" borderId="25" xfId="0" applyNumberFormat="1" applyFont="1" applyBorder="1" applyAlignment="1">
      <alignment horizontal="center" vertical="center"/>
    </xf>
    <xf numFmtId="177" fontId="49" fillId="0" borderId="2" xfId="0" applyNumberFormat="1" applyFont="1" applyBorder="1" applyAlignment="1">
      <alignment horizontal="center" vertical="center"/>
    </xf>
    <xf numFmtId="177" fontId="49" fillId="0" borderId="20" xfId="0" applyNumberFormat="1" applyFont="1" applyBorder="1" applyAlignment="1">
      <alignment horizontal="center" vertical="center"/>
    </xf>
    <xf numFmtId="176" fontId="54" fillId="0" borderId="26" xfId="0" applyNumberFormat="1" applyFont="1" applyBorder="1" applyAlignment="1">
      <alignment horizontal="center" vertical="center"/>
    </xf>
    <xf numFmtId="176" fontId="54" fillId="0" borderId="27" xfId="0" applyNumberFormat="1" applyFont="1" applyBorder="1" applyAlignment="1">
      <alignment horizontal="center" vertical="center"/>
    </xf>
    <xf numFmtId="176" fontId="49" fillId="0" borderId="28" xfId="0" applyNumberFormat="1" applyFont="1" applyBorder="1" applyAlignment="1">
      <alignment horizontal="center" vertical="center"/>
    </xf>
    <xf numFmtId="176" fontId="49" fillId="0" borderId="29" xfId="0" applyNumberFormat="1" applyFont="1" applyBorder="1" applyAlignment="1">
      <alignment horizontal="center" vertical="center"/>
    </xf>
    <xf numFmtId="0" fontId="43" fillId="2" borderId="13" xfId="0" applyFont="1" applyFill="1" applyBorder="1" applyAlignment="1">
      <alignment horizontal="center" vertical="center" wrapText="1"/>
    </xf>
    <xf numFmtId="0" fontId="43" fillId="19" borderId="21" xfId="0" applyFont="1" applyFill="1" applyBorder="1" applyAlignment="1" applyProtection="1">
      <alignment horizontal="center" vertical="center"/>
      <protection locked="0"/>
    </xf>
    <xf numFmtId="0" fontId="43" fillId="19" borderId="24" xfId="0" applyFont="1" applyFill="1" applyBorder="1" applyAlignment="1" applyProtection="1">
      <alignment horizontal="center" vertical="center"/>
      <protection locked="0"/>
    </xf>
    <xf numFmtId="0" fontId="41" fillId="0" borderId="0" xfId="0" applyFont="1" applyAlignment="1">
      <alignment horizontal="center" vertical="center"/>
    </xf>
    <xf numFmtId="0" fontId="42" fillId="0" borderId="0" xfId="0" applyFont="1" applyAlignment="1">
      <alignment horizontal="center" vertical="center"/>
    </xf>
    <xf numFmtId="0" fontId="45" fillId="2" borderId="3" xfId="0" applyFont="1" applyFill="1" applyBorder="1" applyAlignment="1">
      <alignment horizontal="center" vertical="center" shrinkToFit="1"/>
    </xf>
    <xf numFmtId="0" fontId="45" fillId="2" borderId="16" xfId="0" applyFont="1" applyFill="1" applyBorder="1" applyAlignment="1">
      <alignment horizontal="center" vertical="center" shrinkToFit="1"/>
    </xf>
    <xf numFmtId="0" fontId="45" fillId="2" borderId="5" xfId="0" applyFont="1" applyFill="1" applyBorder="1" applyAlignment="1">
      <alignment horizontal="center" vertical="center" shrinkToFit="1"/>
    </xf>
    <xf numFmtId="0" fontId="45" fillId="2" borderId="15" xfId="0" applyFont="1" applyFill="1" applyBorder="1" applyAlignment="1">
      <alignment horizontal="center" vertical="center" shrinkToFit="1"/>
    </xf>
    <xf numFmtId="0" fontId="45" fillId="0" borderId="0" xfId="0" applyFont="1" applyAlignment="1">
      <alignment horizontal="left"/>
    </xf>
    <xf numFmtId="0" fontId="43" fillId="2" borderId="4" xfId="0" applyFont="1" applyFill="1" applyBorder="1" applyAlignment="1">
      <alignment horizontal="center" vertical="center" wrapText="1" shrinkToFit="1"/>
    </xf>
    <xf numFmtId="0" fontId="43" fillId="2" borderId="10" xfId="0" applyFont="1" applyFill="1" applyBorder="1" applyAlignment="1">
      <alignment horizontal="center" vertical="center" wrapText="1" shrinkToFit="1"/>
    </xf>
    <xf numFmtId="0" fontId="45" fillId="17" borderId="21" xfId="0" applyFont="1" applyFill="1" applyBorder="1" applyAlignment="1" applyProtection="1">
      <alignment horizontal="center" vertical="center"/>
      <protection locked="0"/>
    </xf>
    <xf numFmtId="0" fontId="45" fillId="17" borderId="24" xfId="0" applyFont="1" applyFill="1" applyBorder="1" applyAlignment="1" applyProtection="1">
      <alignment horizontal="center" vertical="center"/>
      <protection locked="0"/>
    </xf>
    <xf numFmtId="0" fontId="43" fillId="2" borderId="13" xfId="0" applyFont="1" applyFill="1" applyBorder="1" applyAlignment="1">
      <alignment horizontal="center" vertical="center" shrinkToFit="1"/>
    </xf>
    <xf numFmtId="176" fontId="54" fillId="0" borderId="11" xfId="0" applyNumberFormat="1" applyFont="1" applyBorder="1" applyAlignment="1">
      <alignment horizontal="center" vertical="center"/>
    </xf>
    <xf numFmtId="176" fontId="54" fillId="0" borderId="23" xfId="0" applyNumberFormat="1" applyFont="1" applyBorder="1" applyAlignment="1">
      <alignment horizontal="center" vertical="center"/>
    </xf>
    <xf numFmtId="0" fontId="38" fillId="19" borderId="1" xfId="0" applyFont="1" applyFill="1" applyBorder="1" applyAlignment="1">
      <alignment horizontal="center" vertical="center" wrapText="1"/>
    </xf>
    <xf numFmtId="0" fontId="38" fillId="19" borderId="2" xfId="0" applyFont="1" applyFill="1" applyBorder="1" applyAlignment="1">
      <alignment horizontal="center" vertical="center" wrapText="1"/>
    </xf>
    <xf numFmtId="176" fontId="54" fillId="0" borderId="22" xfId="0" applyNumberFormat="1" applyFont="1" applyBorder="1" applyAlignment="1">
      <alignment horizontal="center" vertical="center"/>
    </xf>
    <xf numFmtId="38" fontId="45" fillId="0" borderId="1" xfId="0" applyNumberFormat="1" applyFont="1" applyBorder="1" applyAlignment="1">
      <alignment horizontal="center" vertical="center"/>
    </xf>
    <xf numFmtId="0" fontId="43" fillId="2" borderId="4" xfId="0" applyFont="1" applyFill="1" applyBorder="1" applyAlignment="1">
      <alignment horizontal="center" vertical="center"/>
    </xf>
    <xf numFmtId="0" fontId="43" fillId="2" borderId="6" xfId="0" applyFont="1" applyFill="1" applyBorder="1" applyAlignment="1">
      <alignment horizontal="center" vertical="center"/>
    </xf>
    <xf numFmtId="0" fontId="43" fillId="0" borderId="16" xfId="0" applyFont="1" applyBorder="1" applyAlignment="1">
      <alignment horizontal="center" vertical="center"/>
    </xf>
    <xf numFmtId="0" fontId="43" fillId="2" borderId="3" xfId="0" applyFont="1" applyFill="1" applyBorder="1" applyAlignment="1">
      <alignment horizontal="center" vertical="center" shrinkToFit="1"/>
    </xf>
    <xf numFmtId="0" fontId="43" fillId="2" borderId="4" xfId="0" applyFont="1" applyFill="1" applyBorder="1" applyAlignment="1">
      <alignment horizontal="center" vertical="center" shrinkToFit="1"/>
    </xf>
    <xf numFmtId="0" fontId="43" fillId="2" borderId="5" xfId="0" applyFont="1" applyFill="1" applyBorder="1" applyAlignment="1">
      <alignment horizontal="center" vertical="center" shrinkToFit="1"/>
    </xf>
    <xf numFmtId="0" fontId="43" fillId="2" borderId="6" xfId="0" applyFont="1" applyFill="1" applyBorder="1" applyAlignment="1">
      <alignment horizontal="center" vertical="center" shrinkToFit="1"/>
    </xf>
    <xf numFmtId="38" fontId="45" fillId="0" borderId="9" xfId="0" applyNumberFormat="1" applyFont="1" applyBorder="1" applyAlignment="1">
      <alignment horizontal="center" vertical="center"/>
    </xf>
    <xf numFmtId="38" fontId="45" fillId="0" borderId="20" xfId="0" applyNumberFormat="1" applyFont="1" applyBorder="1" applyAlignment="1">
      <alignment horizontal="center" vertical="center"/>
    </xf>
    <xf numFmtId="176" fontId="54" fillId="0" borderId="6" xfId="0" applyNumberFormat="1" applyFont="1" applyBorder="1" applyAlignment="1">
      <alignment horizontal="center" vertical="center"/>
    </xf>
    <xf numFmtId="38" fontId="5" fillId="4" borderId="7" xfId="2" applyFont="1" applyFill="1" applyBorder="1" applyAlignment="1" applyProtection="1">
      <alignment horizontal="center" vertical="center"/>
    </xf>
    <xf numFmtId="38" fontId="5" fillId="4" borderId="14" xfId="2" applyFont="1" applyFill="1" applyBorder="1" applyAlignment="1" applyProtection="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38" fontId="5" fillId="0" borderId="7" xfId="2" applyFont="1" applyFill="1" applyBorder="1" applyAlignment="1" applyProtection="1">
      <alignment horizontal="center" vertical="center"/>
    </xf>
    <xf numFmtId="38" fontId="5" fillId="0" borderId="14" xfId="2" applyFont="1" applyFill="1" applyBorder="1" applyAlignment="1" applyProtection="1">
      <alignment horizontal="center" vertical="center"/>
    </xf>
    <xf numFmtId="38" fontId="5" fillId="4" borderId="8" xfId="2" applyFont="1" applyFill="1" applyBorder="1" applyAlignment="1" applyProtection="1">
      <alignment horizontal="center" vertical="center"/>
    </xf>
    <xf numFmtId="38" fontId="5" fillId="0" borderId="8" xfId="2" applyFont="1" applyFill="1" applyBorder="1" applyAlignment="1" applyProtection="1">
      <alignment horizontal="center" vertical="center"/>
    </xf>
    <xf numFmtId="38" fontId="0" fillId="0" borderId="0" xfId="0" applyNumberFormat="1" applyAlignment="1">
      <alignment horizontal="center" vertical="center"/>
    </xf>
    <xf numFmtId="38" fontId="0" fillId="0" borderId="0" xfId="1" applyFont="1" applyAlignment="1">
      <alignment horizontal="center" vertical="center"/>
    </xf>
    <xf numFmtId="38" fontId="30" fillId="0" borderId="70" xfId="1" applyFont="1" applyFill="1" applyBorder="1" applyAlignment="1">
      <alignment horizontal="center" vertical="center"/>
    </xf>
    <xf numFmtId="38" fontId="30" fillId="0" borderId="71" xfId="1" applyFont="1" applyFill="1" applyBorder="1" applyAlignment="1">
      <alignment horizontal="center" vertical="center"/>
    </xf>
    <xf numFmtId="38" fontId="30" fillId="0" borderId="72" xfId="1" applyFont="1" applyFill="1" applyBorder="1" applyAlignment="1">
      <alignment horizontal="center" vertical="center"/>
    </xf>
    <xf numFmtId="176" fontId="0" fillId="0" borderId="16" xfId="0" applyNumberFormat="1" applyBorder="1" applyAlignment="1">
      <alignment horizontal="center" vertical="center"/>
    </xf>
    <xf numFmtId="38" fontId="8" fillId="0" borderId="1" xfId="1" applyFont="1" applyBorder="1" applyAlignment="1">
      <alignment horizontal="center" vertical="center"/>
    </xf>
    <xf numFmtId="176" fontId="8" fillId="14" borderId="1" xfId="0" applyNumberFormat="1" applyFont="1" applyFill="1" applyBorder="1" applyAlignment="1">
      <alignment horizontal="center" vertical="center"/>
    </xf>
    <xf numFmtId="0" fontId="8" fillId="0" borderId="1" xfId="0" applyFont="1" applyBorder="1" applyAlignment="1">
      <alignment horizontal="center" vertical="center"/>
    </xf>
    <xf numFmtId="176" fontId="32" fillId="14" borderId="1" xfId="0" applyNumberFormat="1" applyFont="1" applyFill="1" applyBorder="1" applyAlignment="1">
      <alignment horizontal="center" vertical="center"/>
    </xf>
    <xf numFmtId="0" fontId="8" fillId="0" borderId="14" xfId="0" applyFont="1" applyBorder="1">
      <alignment vertical="center"/>
    </xf>
    <xf numFmtId="0" fontId="8" fillId="0" borderId="8" xfId="0" applyFont="1" applyBorder="1">
      <alignment vertical="center"/>
    </xf>
    <xf numFmtId="0" fontId="27" fillId="0" borderId="32" xfId="0" applyFont="1" applyBorder="1" applyAlignment="1"/>
    <xf numFmtId="0" fontId="27" fillId="0" borderId="0" xfId="0" applyFont="1" applyAlignment="1"/>
    <xf numFmtId="0" fontId="8" fillId="0" borderId="55" xfId="0" applyFont="1" applyBorder="1" applyAlignment="1">
      <alignment horizontal="center" vertical="center"/>
    </xf>
    <xf numFmtId="0" fontId="8" fillId="0" borderId="28" xfId="0" applyFont="1" applyBorder="1" applyAlignment="1">
      <alignment horizontal="center" vertical="center"/>
    </xf>
    <xf numFmtId="0" fontId="8" fillId="0" borderId="59" xfId="0" applyFont="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10" fontId="0" fillId="13" borderId="1" xfId="3" applyNumberFormat="1" applyFont="1" applyFill="1"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8" fillId="0" borderId="0" xfId="0" applyFont="1" applyAlignment="1">
      <alignment vertical="center" textRotation="255"/>
    </xf>
    <xf numFmtId="0" fontId="5" fillId="0" borderId="1" xfId="0" applyFont="1" applyBorder="1" applyAlignment="1">
      <alignment horizontal="center" vertical="center"/>
    </xf>
    <xf numFmtId="0" fontId="8" fillId="7" borderId="1" xfId="0" applyFont="1" applyFill="1" applyBorder="1" applyAlignment="1">
      <alignment horizontal="center" vertical="center"/>
    </xf>
    <xf numFmtId="10" fontId="0" fillId="10" borderId="1" xfId="3" applyNumberFormat="1" applyFont="1" applyFill="1"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176" fontId="8" fillId="0" borderId="52" xfId="0" applyNumberFormat="1" applyFont="1" applyBorder="1">
      <alignment vertical="center"/>
    </xf>
    <xf numFmtId="0" fontId="8" fillId="0" borderId="53" xfId="0" applyFont="1" applyBorder="1">
      <alignment vertical="center"/>
    </xf>
    <xf numFmtId="0" fontId="8" fillId="0" borderId="54" xfId="0" applyFont="1" applyBorder="1">
      <alignment vertical="center"/>
    </xf>
    <xf numFmtId="176" fontId="8" fillId="9" borderId="20" xfId="0" applyNumberFormat="1" applyFont="1" applyFill="1" applyBorder="1">
      <alignment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9" borderId="3" xfId="0" applyFont="1" applyFill="1" applyBorder="1" applyAlignment="1">
      <alignment horizontal="center" vertical="center"/>
    </xf>
    <xf numFmtId="0" fontId="5" fillId="9" borderId="16" xfId="0" applyFont="1" applyFill="1" applyBorder="1" applyAlignment="1">
      <alignment horizontal="center" vertical="center"/>
    </xf>
    <xf numFmtId="0" fontId="5" fillId="9" borderId="4" xfId="0" applyFont="1" applyFill="1" applyBorder="1" applyAlignment="1">
      <alignment horizontal="center" vertical="center"/>
    </xf>
    <xf numFmtId="176" fontId="8" fillId="0" borderId="67" xfId="0" applyNumberFormat="1" applyFont="1" applyBorder="1">
      <alignment vertical="center"/>
    </xf>
    <xf numFmtId="176" fontId="8" fillId="0" borderId="68" xfId="0" applyNumberFormat="1" applyFont="1" applyBorder="1">
      <alignment vertical="center"/>
    </xf>
    <xf numFmtId="176" fontId="8" fillId="0" borderId="69" xfId="0" applyNumberFormat="1" applyFont="1" applyBorder="1">
      <alignment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176" fontId="8" fillId="11" borderId="20" xfId="0" applyNumberFormat="1" applyFont="1" applyFill="1" applyBorder="1">
      <alignment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xf>
    <xf numFmtId="176" fontId="8" fillId="14" borderId="52" xfId="0" applyNumberFormat="1" applyFont="1" applyFill="1" applyBorder="1">
      <alignment vertical="center"/>
    </xf>
    <xf numFmtId="176" fontId="8" fillId="14" borderId="53" xfId="0" applyNumberFormat="1" applyFont="1" applyFill="1" applyBorder="1">
      <alignment vertical="center"/>
    </xf>
    <xf numFmtId="176" fontId="8" fillId="14" borderId="54" xfId="0" applyNumberFormat="1" applyFont="1" applyFill="1" applyBorder="1">
      <alignment vertical="center"/>
    </xf>
    <xf numFmtId="176" fontId="8" fillId="0" borderId="20" xfId="0" applyNumberFormat="1" applyFont="1" applyBorder="1">
      <alignment vertical="center"/>
    </xf>
    <xf numFmtId="0" fontId="8" fillId="0" borderId="20" xfId="0" applyFont="1" applyBorder="1">
      <alignment vertical="center"/>
    </xf>
    <xf numFmtId="176" fontId="8" fillId="0" borderId="53" xfId="0" applyNumberFormat="1" applyFont="1" applyBorder="1">
      <alignment vertical="center"/>
    </xf>
    <xf numFmtId="176" fontId="8" fillId="0" borderId="54" xfId="0" applyNumberFormat="1" applyFont="1" applyBorder="1">
      <alignment vertical="center"/>
    </xf>
    <xf numFmtId="0" fontId="8" fillId="0" borderId="55" xfId="0" applyFont="1" applyBorder="1" applyAlignment="1">
      <alignment horizontal="center" vertical="center" textRotation="255"/>
    </xf>
    <xf numFmtId="0" fontId="8" fillId="0" borderId="28" xfId="0" applyFont="1" applyBorder="1" applyAlignment="1">
      <alignment horizontal="center" vertical="center" textRotation="255"/>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176" fontId="8" fillId="0" borderId="0" xfId="0" applyNumberFormat="1" applyFont="1" applyAlignment="1">
      <alignment horizontal="center" vertical="center"/>
    </xf>
    <xf numFmtId="176" fontId="8" fillId="0" borderId="1" xfId="0" applyNumberFormat="1" applyFont="1" applyBorder="1">
      <alignment vertical="center"/>
    </xf>
    <xf numFmtId="176" fontId="5" fillId="0" borderId="15" xfId="0" applyNumberFormat="1" applyFont="1" applyBorder="1" applyAlignment="1">
      <alignment horizontal="center" vertical="center"/>
    </xf>
    <xf numFmtId="0" fontId="5" fillId="0" borderId="0" xfId="0" applyFont="1" applyAlignment="1">
      <alignment horizontal="center" vertical="center"/>
    </xf>
    <xf numFmtId="0" fontId="5" fillId="0" borderId="56"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58" xfId="0" applyFont="1" applyBorder="1" applyAlignment="1">
      <alignment horizontal="center" vertical="center" shrinkToFit="1"/>
    </xf>
    <xf numFmtId="179" fontId="8" fillId="0" borderId="32" xfId="0" applyNumberFormat="1" applyFont="1" applyBorder="1" applyAlignment="1">
      <alignment horizontal="center" vertical="center"/>
    </xf>
    <xf numFmtId="179" fontId="8" fillId="0" borderId="0" xfId="0" applyNumberFormat="1" applyFont="1" applyAlignment="1">
      <alignment horizontal="center" vertical="center"/>
    </xf>
    <xf numFmtId="179" fontId="8" fillId="16" borderId="0" xfId="0" applyNumberFormat="1" applyFont="1" applyFill="1" applyAlignment="1">
      <alignment horizontal="right" vertical="center"/>
    </xf>
    <xf numFmtId="179" fontId="8" fillId="0" borderId="0" xfId="0" applyNumberFormat="1" applyFont="1" applyAlignment="1">
      <alignment horizontal="right" vertical="center"/>
    </xf>
    <xf numFmtId="179" fontId="8" fillId="15" borderId="0" xfId="0" applyNumberFormat="1" applyFont="1" applyFill="1" applyAlignment="1">
      <alignment horizontal="right" vertical="center"/>
    </xf>
    <xf numFmtId="176" fontId="8" fillId="0" borderId="0" xfId="0" applyNumberFormat="1" applyFont="1">
      <alignment vertical="center"/>
    </xf>
    <xf numFmtId="0" fontId="8" fillId="0" borderId="0" xfId="0" applyFont="1">
      <alignment vertical="center"/>
    </xf>
    <xf numFmtId="0" fontId="8" fillId="0" borderId="0" xfId="0" applyFont="1" applyAlignment="1">
      <alignment horizontal="center" vertical="center"/>
    </xf>
    <xf numFmtId="0" fontId="5" fillId="0" borderId="0" xfId="0" applyFont="1" applyAlignment="1">
      <alignment horizontal="right"/>
    </xf>
    <xf numFmtId="0" fontId="5" fillId="0" borderId="38" xfId="0" applyFont="1" applyBorder="1" applyAlignment="1">
      <alignment horizontal="right"/>
    </xf>
    <xf numFmtId="0" fontId="8" fillId="0" borderId="46" xfId="0" applyFont="1" applyBorder="1" applyAlignment="1">
      <alignment horizontal="center" vertical="center"/>
    </xf>
    <xf numFmtId="0" fontId="8" fillId="0" borderId="36" xfId="0" applyFont="1" applyBorder="1" applyAlignment="1">
      <alignment horizontal="center" vertical="center"/>
    </xf>
    <xf numFmtId="0" fontId="8" fillId="0" borderId="47" xfId="0" applyFont="1" applyBorder="1" applyAlignment="1">
      <alignment horizontal="center" vertical="center"/>
    </xf>
    <xf numFmtId="0" fontId="5" fillId="0" borderId="2" xfId="0" applyFont="1" applyBorder="1" applyAlignment="1">
      <alignment horizontal="center" vertical="center"/>
    </xf>
    <xf numFmtId="10" fontId="8" fillId="13" borderId="52" xfId="0" applyNumberFormat="1" applyFont="1" applyFill="1" applyBorder="1" applyAlignment="1">
      <alignment horizontal="center" vertical="center"/>
    </xf>
    <xf numFmtId="10" fontId="8" fillId="13" borderId="53" xfId="0" applyNumberFormat="1" applyFont="1" applyFill="1" applyBorder="1" applyAlignment="1">
      <alignment horizontal="center" vertical="center"/>
    </xf>
    <xf numFmtId="10" fontId="8" fillId="13" borderId="54" xfId="0" applyNumberFormat="1" applyFont="1" applyFill="1" applyBorder="1" applyAlignment="1">
      <alignment horizontal="center" vertical="center"/>
    </xf>
    <xf numFmtId="180" fontId="8" fillId="0" borderId="5" xfId="0" applyNumberFormat="1" applyFont="1" applyBorder="1">
      <alignment vertical="center"/>
    </xf>
    <xf numFmtId="180" fontId="8" fillId="0" borderId="15" xfId="0" applyNumberFormat="1" applyFont="1" applyBorder="1">
      <alignment vertical="center"/>
    </xf>
    <xf numFmtId="180" fontId="8" fillId="0" borderId="6" xfId="0" applyNumberFormat="1" applyFont="1" applyBorder="1">
      <alignment vertical="center"/>
    </xf>
    <xf numFmtId="0" fontId="8" fillId="0" borderId="8" xfId="0" applyFont="1" applyBorder="1" applyAlignment="1">
      <alignment horizontal="center" vertical="center" textRotation="255"/>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lignment vertical="center"/>
    </xf>
    <xf numFmtId="0" fontId="8" fillId="15" borderId="1" xfId="0" applyFont="1" applyFill="1" applyBorder="1" applyAlignment="1">
      <alignment horizontal="center" vertical="center"/>
    </xf>
    <xf numFmtId="0" fontId="26" fillId="0" borderId="1" xfId="0" applyFont="1" applyBorder="1" applyAlignment="1">
      <alignment horizontal="center" vertical="center" shrinkToFit="1"/>
    </xf>
    <xf numFmtId="176" fontId="0" fillId="0" borderId="3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6" xfId="0" applyNumberFormat="1" applyBorder="1" applyAlignment="1">
      <alignment horizontal="center" vertical="center"/>
    </xf>
    <xf numFmtId="178" fontId="8" fillId="0" borderId="1" xfId="0" applyNumberFormat="1" applyFont="1" applyBorder="1" applyAlignment="1">
      <alignment horizontal="center" vertical="center"/>
    </xf>
    <xf numFmtId="178" fontId="8" fillId="0" borderId="39" xfId="0" applyNumberFormat="1"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176" fontId="0" fillId="0" borderId="1" xfId="0" applyNumberFormat="1" applyBorder="1">
      <alignment vertical="center"/>
    </xf>
    <xf numFmtId="179" fontId="5" fillId="0" borderId="1" xfId="0" applyNumberFormat="1" applyFont="1" applyBorder="1" applyAlignment="1">
      <alignment horizontal="center" vertical="center"/>
    </xf>
    <xf numFmtId="178" fontId="0" fillId="0" borderId="1" xfId="0" applyNumberFormat="1" applyBorder="1" applyAlignment="1">
      <alignment horizontal="center" vertical="center"/>
    </xf>
    <xf numFmtId="0" fontId="8" fillId="16" borderId="7" xfId="0" applyFont="1" applyFill="1" applyBorder="1" applyAlignment="1">
      <alignment horizontal="center" vertical="center"/>
    </xf>
    <xf numFmtId="176" fontId="0" fillId="0" borderId="32" xfId="0" applyNumberFormat="1" applyBorder="1" applyAlignment="1">
      <alignment horizontal="center" vertical="center"/>
    </xf>
    <xf numFmtId="176" fontId="0" fillId="0" borderId="0" xfId="0" applyNumberFormat="1" applyAlignment="1">
      <alignment horizontal="center" vertical="center"/>
    </xf>
    <xf numFmtId="0" fontId="8" fillId="16" borderId="39" xfId="0" applyFont="1" applyFill="1" applyBorder="1" applyAlignment="1">
      <alignment horizontal="center" vertical="center"/>
    </xf>
    <xf numFmtId="0" fontId="8" fillId="15" borderId="39" xfId="0" applyFont="1" applyFill="1" applyBorder="1" applyAlignment="1">
      <alignment horizontal="center" vertical="center"/>
    </xf>
    <xf numFmtId="0" fontId="22" fillId="12" borderId="5" xfId="0" applyFont="1" applyFill="1" applyBorder="1">
      <alignment vertical="center"/>
    </xf>
    <xf numFmtId="0" fontId="22" fillId="12" borderId="15" xfId="0" applyFont="1" applyFill="1" applyBorder="1">
      <alignment vertical="center"/>
    </xf>
    <xf numFmtId="0" fontId="22" fillId="8" borderId="5" xfId="0" applyFont="1" applyFill="1" applyBorder="1">
      <alignment vertical="center"/>
    </xf>
    <xf numFmtId="0" fontId="22" fillId="8" borderId="15" xfId="0" applyFont="1" applyFill="1" applyBorder="1">
      <alignment vertical="center"/>
    </xf>
    <xf numFmtId="176" fontId="24" fillId="0" borderId="7" xfId="0" applyNumberFormat="1" applyFont="1" applyBorder="1">
      <alignment vertical="center"/>
    </xf>
    <xf numFmtId="176" fontId="24" fillId="0" borderId="14" xfId="0" applyNumberFormat="1" applyFont="1" applyBorder="1">
      <alignment vertical="center"/>
    </xf>
    <xf numFmtId="0" fontId="23" fillId="0" borderId="7" xfId="0" applyFont="1" applyBorder="1" applyAlignment="1">
      <alignment horizontal="center" vertical="center"/>
    </xf>
    <xf numFmtId="0" fontId="23" fillId="0" borderId="14" xfId="0" applyFont="1" applyBorder="1" applyAlignment="1">
      <alignment horizontal="center" vertical="center"/>
    </xf>
    <xf numFmtId="0" fontId="23" fillId="0" borderId="8" xfId="0" applyFont="1" applyBorder="1" applyAlignment="1">
      <alignment horizontal="center" vertical="center"/>
    </xf>
    <xf numFmtId="0" fontId="8" fillId="0" borderId="1" xfId="0" applyFont="1" applyBorder="1" applyAlignment="1">
      <alignment horizontal="center" vertical="center" textRotation="255"/>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176" fontId="30" fillId="0" borderId="16" xfId="0" applyNumberFormat="1" applyFont="1" applyBorder="1" applyAlignment="1">
      <alignment horizontal="center" vertical="center"/>
    </xf>
    <xf numFmtId="0" fontId="8" fillId="17" borderId="7" xfId="0" applyFont="1" applyFill="1" applyBorder="1">
      <alignment vertical="center"/>
    </xf>
    <xf numFmtId="0" fontId="8" fillId="17" borderId="14" xfId="0" applyFont="1" applyFill="1" applyBorder="1">
      <alignment vertical="center"/>
    </xf>
    <xf numFmtId="0" fontId="8" fillId="17" borderId="8" xfId="0" applyFont="1" applyFill="1" applyBorder="1">
      <alignment vertical="center"/>
    </xf>
    <xf numFmtId="176" fontId="22" fillId="8" borderId="20" xfId="0" applyNumberFormat="1" applyFont="1" applyFill="1" applyBorder="1">
      <alignment vertical="center"/>
    </xf>
    <xf numFmtId="176" fontId="22" fillId="8" borderId="5" xfId="0" applyNumberFormat="1" applyFont="1" applyFill="1" applyBorder="1">
      <alignment vertical="center"/>
    </xf>
    <xf numFmtId="0" fontId="23" fillId="0" borderId="5" xfId="0" applyFont="1" applyBorder="1" applyAlignment="1">
      <alignment horizontal="center" vertical="center"/>
    </xf>
    <xf numFmtId="0" fontId="23" fillId="0" borderId="15" xfId="0" applyFont="1" applyBorder="1" applyAlignment="1">
      <alignment horizontal="center" vertical="center"/>
    </xf>
    <xf numFmtId="0" fontId="23" fillId="0" borderId="6" xfId="0" applyFont="1" applyBorder="1" applyAlignment="1">
      <alignment horizontal="center" vertical="center"/>
    </xf>
    <xf numFmtId="0" fontId="8" fillId="0" borderId="39" xfId="0" applyFont="1" applyBorder="1" applyAlignment="1">
      <alignment horizontal="center" vertical="center"/>
    </xf>
    <xf numFmtId="0" fontId="5" fillId="0" borderId="30"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55" xfId="0" applyFont="1" applyBorder="1" applyAlignment="1">
      <alignment horizontal="center" vertical="center" shrinkToFit="1"/>
    </xf>
    <xf numFmtId="176" fontId="0" fillId="0" borderId="62" xfId="0" applyNumberFormat="1" applyBorder="1" applyAlignment="1">
      <alignment horizontal="center" vertical="center"/>
    </xf>
    <xf numFmtId="176" fontId="0" fillId="0" borderId="63" xfId="0" applyNumberFormat="1" applyBorder="1" applyAlignment="1">
      <alignment horizontal="center" vertical="center"/>
    </xf>
    <xf numFmtId="176" fontId="0" fillId="0" borderId="61" xfId="0" applyNumberFormat="1" applyBorder="1" applyAlignment="1">
      <alignment horizontal="center" vertical="center"/>
    </xf>
    <xf numFmtId="176" fontId="0" fillId="0" borderId="64" xfId="0" applyNumberFormat="1" applyBorder="1" applyAlignment="1">
      <alignment horizontal="center" vertical="center"/>
    </xf>
    <xf numFmtId="176" fontId="0" fillId="0" borderId="21" xfId="0" applyNumberFormat="1" applyBorder="1" applyAlignment="1">
      <alignment horizontal="center" vertical="center"/>
    </xf>
    <xf numFmtId="176" fontId="0" fillId="0" borderId="60" xfId="0" applyNumberFormat="1" applyBorder="1" applyAlignment="1">
      <alignment horizontal="center" vertical="center"/>
    </xf>
    <xf numFmtId="0" fontId="8" fillId="0" borderId="8"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center" vertical="center"/>
    </xf>
    <xf numFmtId="38" fontId="8" fillId="0" borderId="1" xfId="1" applyFont="1" applyFill="1" applyBorder="1" applyAlignment="1">
      <alignment horizontal="center" vertical="center"/>
    </xf>
    <xf numFmtId="38" fontId="8" fillId="14" borderId="1" xfId="1" applyFont="1" applyFill="1" applyBorder="1" applyAlignment="1">
      <alignment horizontal="center" vertical="center"/>
    </xf>
    <xf numFmtId="0" fontId="0" fillId="0" borderId="39" xfId="0" applyBorder="1" applyAlignment="1">
      <alignment horizontal="center" vertical="center"/>
    </xf>
    <xf numFmtId="176" fontId="34" fillId="14" borderId="1" xfId="0" applyNumberFormat="1" applyFont="1" applyFill="1" applyBorder="1" applyAlignment="1">
      <alignment horizontal="center" vertical="center"/>
    </xf>
    <xf numFmtId="38" fontId="34" fillId="0" borderId="1" xfId="1" applyFont="1" applyBorder="1" applyAlignment="1">
      <alignment horizontal="center" vertical="center"/>
    </xf>
    <xf numFmtId="38" fontId="8" fillId="0" borderId="7" xfId="1" applyFont="1" applyBorder="1" applyAlignment="1">
      <alignment horizontal="center" vertical="center"/>
    </xf>
    <xf numFmtId="38" fontId="8" fillId="0" borderId="14" xfId="1" applyFont="1" applyBorder="1" applyAlignment="1">
      <alignment horizontal="center" vertical="center"/>
    </xf>
    <xf numFmtId="38" fontId="8" fillId="0" borderId="8" xfId="1" applyFont="1" applyBorder="1" applyAlignment="1">
      <alignment horizontal="center" vertical="center"/>
    </xf>
  </cellXfs>
  <cellStyles count="4">
    <cellStyle name="パーセント" xfId="3" builtinId="5"/>
    <cellStyle name="桁区切り" xfId="1" builtinId="6"/>
    <cellStyle name="桁区切り 2" xfId="2" xr:uid="{00000000-0005-0000-0000-000002000000}"/>
    <cellStyle name="標準" xfId="0" builtinId="0"/>
  </cellStyles>
  <dxfs count="0"/>
  <tableStyles count="0" defaultTableStyle="TableStyleMedium2" defaultPivotStyle="PivotStyleLight16"/>
  <colors>
    <mruColors>
      <color rgb="FF66FFFF"/>
      <color rgb="FFE7E6E6"/>
      <color rgb="FFFFFF99"/>
      <color rgb="FFFF66FF"/>
      <color rgb="FFFFCC99"/>
      <color rgb="FFFF99CC"/>
      <color rgb="FFCC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47625</xdr:colOff>
      <xdr:row>28</xdr:row>
      <xdr:rowOff>66675</xdr:rowOff>
    </xdr:from>
    <xdr:to>
      <xdr:col>7</xdr:col>
      <xdr:colOff>180975</xdr:colOff>
      <xdr:row>28</xdr:row>
      <xdr:rowOff>219075</xdr:rowOff>
    </xdr:to>
    <xdr:sp macro="" textlink="">
      <xdr:nvSpPr>
        <xdr:cNvPr id="3" name="AutoShape 7">
          <a:extLst>
            <a:ext uri="{FF2B5EF4-FFF2-40B4-BE49-F238E27FC236}">
              <a16:creationId xmlns:a16="http://schemas.microsoft.com/office/drawing/2014/main" id="{00000000-0008-0000-0300-000003000000}"/>
            </a:ext>
          </a:extLst>
        </xdr:cNvPr>
        <xdr:cNvSpPr>
          <a:spLocks noChangeArrowheads="1"/>
        </xdr:cNvSpPr>
      </xdr:nvSpPr>
      <xdr:spPr bwMode="auto">
        <a:xfrm>
          <a:off x="1362075" y="2724150"/>
          <a:ext cx="352425" cy="152400"/>
        </a:xfrm>
        <a:prstGeom prst="leftArrow">
          <a:avLst>
            <a:gd name="adj1" fmla="val 50000"/>
            <a:gd name="adj2" fmla="val 5781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86"/>
  <sheetViews>
    <sheetView showGridLines="0" tabSelected="1" zoomScale="60" zoomScaleNormal="60" workbookViewId="0">
      <selection activeCell="B3" sqref="B3"/>
    </sheetView>
  </sheetViews>
  <sheetFormatPr defaultRowHeight="18.75"/>
  <cols>
    <col min="1" max="1" width="8.25" customWidth="1"/>
    <col min="2" max="2" width="17.75" style="1" customWidth="1"/>
    <col min="3" max="3" width="20.125" customWidth="1"/>
    <col min="4" max="5" width="19.125" customWidth="1"/>
    <col min="6" max="11" width="19.125" style="1" customWidth="1"/>
    <col min="12" max="12" width="20.625" style="1" customWidth="1"/>
    <col min="13" max="13" width="19.125" style="1" customWidth="1"/>
    <col min="14" max="14" width="23.375" style="1" customWidth="1"/>
    <col min="15" max="15" width="16.625" customWidth="1"/>
    <col min="16" max="16" width="14.125" hidden="1" customWidth="1"/>
    <col min="17" max="17" width="4.75" hidden="1" customWidth="1"/>
    <col min="18" max="20" width="21" hidden="1" customWidth="1"/>
    <col min="21" max="21" width="10.625" hidden="1" customWidth="1"/>
    <col min="22" max="22" width="9" customWidth="1"/>
  </cols>
  <sheetData>
    <row r="1" spans="1:15" ht="53.25" customHeight="1">
      <c r="B1" s="197" t="s">
        <v>14</v>
      </c>
      <c r="C1" s="198"/>
      <c r="D1" s="198"/>
      <c r="E1" s="198"/>
      <c r="F1" s="198"/>
      <c r="G1" s="198"/>
      <c r="H1" s="198"/>
      <c r="I1" s="198"/>
      <c r="J1" s="198"/>
      <c r="K1" s="198"/>
      <c r="L1" s="198"/>
      <c r="M1" s="198"/>
      <c r="N1" s="198"/>
    </row>
    <row r="2" spans="1:15" ht="30" customHeight="1" thickBot="1">
      <c r="B2" s="66"/>
      <c r="C2" s="67"/>
      <c r="D2" s="67"/>
      <c r="E2" s="67"/>
      <c r="F2" s="67"/>
      <c r="G2" s="67"/>
      <c r="H2" s="67"/>
      <c r="I2" s="67"/>
      <c r="J2" s="67"/>
      <c r="K2" s="67"/>
      <c r="L2" s="67"/>
      <c r="M2" s="67"/>
      <c r="N2" s="67"/>
    </row>
    <row r="3" spans="1:15" ht="30" customHeight="1" thickBot="1">
      <c r="A3" s="103"/>
      <c r="B3" s="104"/>
      <c r="C3" s="105" t="s">
        <v>180</v>
      </c>
      <c r="D3" s="106"/>
      <c r="E3" s="106"/>
      <c r="F3" s="106"/>
      <c r="G3" s="106"/>
      <c r="H3" s="106"/>
      <c r="I3" s="106"/>
      <c r="J3" s="106"/>
      <c r="K3" s="106"/>
      <c r="L3" s="106"/>
      <c r="M3" s="106"/>
      <c r="N3" s="106"/>
      <c r="O3" s="103"/>
    </row>
    <row r="4" spans="1:15" ht="30" customHeight="1">
      <c r="A4" s="103"/>
      <c r="B4" s="107"/>
      <c r="C4" s="103"/>
      <c r="D4" s="103"/>
      <c r="E4" s="103"/>
      <c r="F4" s="107"/>
      <c r="G4" s="107"/>
      <c r="H4" s="107"/>
      <c r="I4" s="107"/>
      <c r="J4" s="107"/>
      <c r="K4" s="107"/>
      <c r="L4" s="107"/>
      <c r="M4" s="107"/>
      <c r="N4" s="107"/>
      <c r="O4" s="103"/>
    </row>
    <row r="5" spans="1:15" s="92" customFormat="1" ht="35.1" customHeight="1">
      <c r="A5" s="108">
        <v>1</v>
      </c>
      <c r="B5" s="177" t="s">
        <v>15</v>
      </c>
      <c r="C5" s="178"/>
      <c r="D5" s="179"/>
      <c r="E5" s="109"/>
      <c r="F5" s="106"/>
      <c r="G5" s="106"/>
      <c r="H5" s="106"/>
      <c r="I5" s="106"/>
      <c r="J5" s="107"/>
      <c r="K5" s="107"/>
      <c r="L5" s="107"/>
      <c r="M5" s="107"/>
      <c r="N5" s="107"/>
      <c r="O5" s="103"/>
    </row>
    <row r="6" spans="1:15" s="92" customFormat="1" ht="35.1" customHeight="1">
      <c r="A6" s="109"/>
      <c r="B6" s="109" t="s">
        <v>16</v>
      </c>
      <c r="C6" s="109"/>
      <c r="D6" s="109"/>
      <c r="E6" s="109"/>
      <c r="F6" s="106"/>
      <c r="G6" s="106"/>
      <c r="H6" s="106"/>
      <c r="I6" s="106"/>
      <c r="J6" s="107"/>
      <c r="K6" s="107"/>
      <c r="L6" s="107"/>
      <c r="M6" s="107"/>
      <c r="N6" s="107"/>
      <c r="O6" s="103"/>
    </row>
    <row r="7" spans="1:15" s="92" customFormat="1" ht="15" customHeight="1" thickBot="1">
      <c r="A7" s="109"/>
      <c r="B7" s="109"/>
      <c r="C7" s="109"/>
      <c r="D7" s="109"/>
      <c r="E7" s="109"/>
      <c r="F7" s="106"/>
      <c r="G7" s="106"/>
      <c r="H7" s="106"/>
      <c r="I7" s="106"/>
      <c r="J7" s="107"/>
      <c r="K7" s="107"/>
      <c r="L7" s="107"/>
      <c r="M7" s="107"/>
      <c r="N7" s="107"/>
      <c r="O7" s="103"/>
    </row>
    <row r="8" spans="1:15" s="92" customFormat="1" ht="17.45" customHeight="1">
      <c r="A8" s="199" t="s">
        <v>0</v>
      </c>
      <c r="B8" s="200"/>
      <c r="C8" s="206">
        <v>4</v>
      </c>
      <c r="D8" s="203" t="s">
        <v>69</v>
      </c>
      <c r="E8" s="110"/>
      <c r="F8" s="109"/>
      <c r="G8" s="109"/>
      <c r="H8" s="111"/>
      <c r="I8" s="111"/>
      <c r="J8" s="107"/>
      <c r="K8" s="107"/>
      <c r="L8" s="107"/>
      <c r="M8" s="107"/>
      <c r="N8" s="107"/>
      <c r="O8" s="103"/>
    </row>
    <row r="9" spans="1:15" s="92" customFormat="1" ht="17.45" customHeight="1" thickBot="1">
      <c r="A9" s="201"/>
      <c r="B9" s="202"/>
      <c r="C9" s="207"/>
      <c r="D9" s="203"/>
      <c r="E9" s="110"/>
      <c r="F9" s="109"/>
      <c r="G9" s="109"/>
      <c r="H9" s="111"/>
      <c r="I9" s="111"/>
      <c r="J9" s="107"/>
      <c r="K9" s="107"/>
      <c r="L9" s="107"/>
      <c r="M9" s="107"/>
      <c r="N9" s="107"/>
      <c r="O9" s="103"/>
    </row>
    <row r="10" spans="1:15" s="92" customFormat="1" ht="30" customHeight="1">
      <c r="A10" s="109"/>
      <c r="B10" s="106"/>
      <c r="C10" s="109"/>
      <c r="D10" s="109"/>
      <c r="E10" s="109"/>
      <c r="F10" s="106"/>
      <c r="G10" s="106"/>
      <c r="H10" s="106"/>
      <c r="I10" s="106"/>
      <c r="J10" s="107"/>
      <c r="K10" s="107"/>
      <c r="L10" s="107"/>
      <c r="M10" s="107"/>
      <c r="N10" s="107"/>
      <c r="O10" s="103"/>
    </row>
    <row r="11" spans="1:15" s="92" customFormat="1" ht="35.1" customHeight="1">
      <c r="A11" s="108">
        <v>2</v>
      </c>
      <c r="B11" s="177" t="s">
        <v>17</v>
      </c>
      <c r="C11" s="178"/>
      <c r="D11" s="179"/>
      <c r="E11" s="106"/>
      <c r="F11" s="106"/>
      <c r="G11" s="106"/>
      <c r="H11" s="106"/>
      <c r="I11" s="106"/>
      <c r="J11" s="107"/>
      <c r="K11" s="107"/>
      <c r="L11" s="107"/>
      <c r="M11" s="107"/>
      <c r="N11" s="107"/>
      <c r="O11" s="103"/>
    </row>
    <row r="12" spans="1:15" s="92" customFormat="1" ht="34.5" customHeight="1">
      <c r="A12" s="109"/>
      <c r="B12" s="109" t="s">
        <v>190</v>
      </c>
      <c r="C12" s="109"/>
      <c r="D12" s="109"/>
      <c r="E12" s="109"/>
      <c r="F12" s="109"/>
      <c r="G12" s="109"/>
      <c r="H12" s="109"/>
      <c r="I12" s="109"/>
      <c r="J12" s="109"/>
      <c r="K12" s="107"/>
      <c r="L12" s="107"/>
      <c r="M12" s="107"/>
      <c r="N12" s="107"/>
      <c r="O12" s="103"/>
    </row>
    <row r="13" spans="1:15" s="92" customFormat="1" ht="34.5" customHeight="1">
      <c r="A13" s="109"/>
      <c r="B13" s="109" t="s">
        <v>221</v>
      </c>
      <c r="C13" s="109"/>
      <c r="D13" s="109"/>
      <c r="E13" s="109"/>
      <c r="F13" s="109"/>
      <c r="G13" s="109"/>
      <c r="H13" s="109"/>
      <c r="I13" s="109"/>
      <c r="J13" s="107"/>
      <c r="K13" s="107"/>
      <c r="L13" s="107"/>
      <c r="M13" s="107"/>
      <c r="N13" s="107"/>
      <c r="O13" s="103"/>
    </row>
    <row r="14" spans="1:15" s="92" customFormat="1" ht="35.1" customHeight="1">
      <c r="A14" s="109"/>
      <c r="B14" s="122" t="s">
        <v>193</v>
      </c>
      <c r="C14" s="122"/>
      <c r="D14" s="122"/>
      <c r="E14" s="122"/>
      <c r="F14" s="122"/>
      <c r="G14" s="122"/>
      <c r="H14" s="122"/>
      <c r="I14" s="122"/>
      <c r="J14" s="107"/>
      <c r="K14" s="107"/>
      <c r="L14" s="107"/>
      <c r="M14" s="107"/>
      <c r="N14" s="107"/>
      <c r="O14" s="103"/>
    </row>
    <row r="15" spans="1:15" s="92" customFormat="1" ht="35.1" customHeight="1">
      <c r="A15" s="109"/>
      <c r="B15" s="109" t="s">
        <v>18</v>
      </c>
      <c r="C15" s="109"/>
      <c r="D15" s="109"/>
      <c r="E15" s="109"/>
      <c r="F15" s="109"/>
      <c r="G15" s="109"/>
      <c r="H15" s="109"/>
      <c r="I15" s="109"/>
      <c r="J15" s="109"/>
      <c r="K15" s="109"/>
      <c r="L15" s="109"/>
      <c r="M15" s="109"/>
      <c r="N15" s="109"/>
      <c r="O15" s="103"/>
    </row>
    <row r="16" spans="1:15" s="92" customFormat="1" ht="35.1" customHeight="1">
      <c r="A16" s="109"/>
      <c r="B16" s="109" t="s">
        <v>19</v>
      </c>
      <c r="C16" s="109"/>
      <c r="D16" s="109"/>
      <c r="E16" s="109"/>
      <c r="F16" s="109"/>
      <c r="G16" s="109"/>
      <c r="H16" s="109"/>
      <c r="I16" s="109"/>
      <c r="J16" s="109"/>
      <c r="K16" s="109"/>
      <c r="L16" s="109"/>
      <c r="M16" s="109"/>
      <c r="N16" s="109"/>
      <c r="O16" s="103"/>
    </row>
    <row r="17" spans="1:19" s="92" customFormat="1" ht="35.1" customHeight="1">
      <c r="A17" s="109"/>
      <c r="B17" s="109" t="s">
        <v>20</v>
      </c>
      <c r="C17" s="109"/>
      <c r="D17" s="109"/>
      <c r="E17" s="109"/>
      <c r="F17" s="109"/>
      <c r="G17" s="109"/>
      <c r="H17" s="109"/>
      <c r="I17" s="109"/>
      <c r="J17" s="109"/>
      <c r="K17" s="109"/>
      <c r="L17" s="109"/>
      <c r="M17" s="109"/>
      <c r="N17" s="109"/>
      <c r="O17" s="103"/>
    </row>
    <row r="18" spans="1:19" s="92" customFormat="1" ht="35.1" customHeight="1">
      <c r="A18" s="109"/>
      <c r="B18" s="109" t="s">
        <v>67</v>
      </c>
      <c r="C18" s="109"/>
      <c r="D18" s="109"/>
      <c r="E18" s="109"/>
      <c r="F18" s="109"/>
      <c r="G18" s="109"/>
      <c r="H18" s="109"/>
      <c r="I18" s="109"/>
      <c r="J18" s="109"/>
      <c r="K18" s="109"/>
      <c r="L18" s="109"/>
      <c r="M18" s="109"/>
      <c r="N18" s="109"/>
      <c r="O18" s="103"/>
    </row>
    <row r="19" spans="1:19" s="92" customFormat="1" ht="35.1" customHeight="1">
      <c r="A19" s="109"/>
      <c r="B19" s="109" t="s">
        <v>68</v>
      </c>
      <c r="C19" s="109"/>
      <c r="D19" s="109"/>
      <c r="E19" s="109"/>
      <c r="F19" s="109"/>
      <c r="G19" s="109"/>
      <c r="H19" s="109"/>
      <c r="I19" s="109"/>
      <c r="J19" s="109"/>
      <c r="K19" s="109"/>
      <c r="L19" s="109"/>
      <c r="M19" s="109"/>
      <c r="N19" s="109"/>
      <c r="O19" s="103"/>
    </row>
    <row r="20" spans="1:19" s="92" customFormat="1" ht="35.1" customHeight="1">
      <c r="A20" s="109"/>
      <c r="B20" s="109" t="s">
        <v>66</v>
      </c>
      <c r="C20" s="109"/>
      <c r="D20" s="109"/>
      <c r="E20" s="109"/>
      <c r="F20" s="109"/>
      <c r="G20" s="109"/>
      <c r="H20" s="109"/>
      <c r="I20" s="109"/>
      <c r="J20" s="109"/>
      <c r="K20" s="109"/>
      <c r="L20" s="109"/>
      <c r="M20" s="109"/>
      <c r="N20" s="109"/>
      <c r="O20" s="103"/>
    </row>
    <row r="21" spans="1:19" s="92" customFormat="1" ht="35.1" customHeight="1">
      <c r="A21" s="109"/>
      <c r="B21" s="109" t="s">
        <v>65</v>
      </c>
      <c r="C21" s="109"/>
      <c r="D21" s="109"/>
      <c r="E21" s="109"/>
      <c r="F21" s="109"/>
      <c r="G21" s="109"/>
      <c r="H21" s="109"/>
      <c r="I21" s="109"/>
      <c r="J21" s="109"/>
      <c r="K21" s="109"/>
      <c r="L21" s="109"/>
      <c r="M21" s="109"/>
      <c r="N21" s="109"/>
      <c r="O21" s="103"/>
    </row>
    <row r="22" spans="1:19" s="92" customFormat="1" ht="15" customHeight="1">
      <c r="A22" s="103"/>
      <c r="B22" s="103"/>
      <c r="C22" s="103"/>
      <c r="D22" s="103"/>
      <c r="E22" s="103"/>
      <c r="F22" s="107"/>
      <c r="G22" s="107"/>
      <c r="H22" s="107"/>
      <c r="I22" s="107"/>
      <c r="J22" s="107"/>
      <c r="K22" s="107"/>
      <c r="L22" s="107"/>
      <c r="M22" s="107"/>
      <c r="N22" s="107"/>
      <c r="O22" s="103"/>
    </row>
    <row r="23" spans="1:19" s="92" customFormat="1" ht="30" customHeight="1">
      <c r="A23" s="158" t="s">
        <v>1</v>
      </c>
      <c r="B23" s="158"/>
      <c r="C23" s="204" t="s">
        <v>206</v>
      </c>
      <c r="D23" s="160" t="s">
        <v>12</v>
      </c>
      <c r="E23" s="169" t="s">
        <v>204</v>
      </c>
      <c r="F23" s="171" t="s">
        <v>13</v>
      </c>
      <c r="G23" s="172"/>
      <c r="H23" s="172"/>
      <c r="I23" s="173"/>
      <c r="J23" s="160" t="s">
        <v>62</v>
      </c>
      <c r="K23" s="169" t="s">
        <v>63</v>
      </c>
      <c r="L23" s="160" t="s">
        <v>11</v>
      </c>
      <c r="M23" s="160" t="s">
        <v>22</v>
      </c>
      <c r="N23" s="160" t="s">
        <v>21</v>
      </c>
      <c r="O23" s="211" t="s">
        <v>64</v>
      </c>
      <c r="P23" s="93"/>
    </row>
    <row r="24" spans="1:19" s="92" customFormat="1" ht="30" customHeight="1" thickBot="1">
      <c r="A24" s="158"/>
      <c r="B24" s="158"/>
      <c r="C24" s="205"/>
      <c r="D24" s="208"/>
      <c r="E24" s="194"/>
      <c r="F24" s="112" t="s">
        <v>2</v>
      </c>
      <c r="G24" s="112" t="s">
        <v>32</v>
      </c>
      <c r="H24" s="112" t="s">
        <v>3</v>
      </c>
      <c r="I24" s="112" t="s">
        <v>32</v>
      </c>
      <c r="J24" s="161"/>
      <c r="K24" s="174"/>
      <c r="L24" s="161"/>
      <c r="M24" s="161"/>
      <c r="N24" s="161"/>
      <c r="O24" s="212"/>
    </row>
    <row r="25" spans="1:19" s="92" customFormat="1" ht="30" customHeight="1">
      <c r="A25" s="180" t="s">
        <v>4</v>
      </c>
      <c r="B25" s="181"/>
      <c r="C25" s="184"/>
      <c r="D25" s="152"/>
      <c r="E25" s="209">
        <f>IF(O25="有",給与所得!I$15*0.3,給与所得!I$15)</f>
        <v>0</v>
      </c>
      <c r="F25" s="150"/>
      <c r="G25" s="190">
        <f>年金所得!G10</f>
        <v>0</v>
      </c>
      <c r="H25" s="150"/>
      <c r="I25" s="190">
        <f>年金所得!G20</f>
        <v>0</v>
      </c>
      <c r="J25" s="150"/>
      <c r="K25" s="192">
        <f>IF(AND(E25&gt;=1,OR(G25&gt;=1,I25&gt;=1)),(Q25+Q26)-100000,0)</f>
        <v>0</v>
      </c>
      <c r="L25" s="162">
        <f>E25+G25+I25+J25-K25</f>
        <v>0</v>
      </c>
      <c r="M25" s="188" t="str">
        <f>IF(AND(L25&gt;0,L25&lt;=24000000),430000,
IF(AND(L25&gt;24000000,L25&lt;=24500000),290000,
IF(AND(L25&gt;24500000,L25&lt;=25000000),150000,
IF(L25&gt;25000000,0,""))))</f>
        <v/>
      </c>
      <c r="N25" s="186">
        <f>IFERROR(IF(L25&lt;=0,0,IF(L25-M25&lt;=0,0,L25-M25)),"")</f>
        <v>0</v>
      </c>
      <c r="O25" s="195"/>
      <c r="Q25" s="94">
        <f>IF(E25&gt;=100000,100000,E25)</f>
        <v>0</v>
      </c>
      <c r="S25" s="95">
        <f>IF(C25&gt;=65,1,0)</f>
        <v>0</v>
      </c>
    </row>
    <row r="26" spans="1:19" s="92" customFormat="1" ht="30" customHeight="1" thickBot="1">
      <c r="A26" s="182"/>
      <c r="B26" s="183"/>
      <c r="C26" s="185"/>
      <c r="D26" s="153"/>
      <c r="E26" s="210"/>
      <c r="F26" s="151"/>
      <c r="G26" s="191"/>
      <c r="H26" s="151"/>
      <c r="I26" s="191"/>
      <c r="J26" s="151"/>
      <c r="K26" s="193"/>
      <c r="L26" s="163"/>
      <c r="M26" s="189"/>
      <c r="N26" s="187"/>
      <c r="O26" s="196"/>
      <c r="Q26" s="96">
        <f>IF(OR(G25&gt;=100000,I25&gt;=100000),100000,G25+I25)</f>
        <v>0</v>
      </c>
      <c r="S26" s="95"/>
    </row>
    <row r="27" spans="1:19" s="92" customFormat="1" ht="30" customHeight="1">
      <c r="A27" s="180" t="s">
        <v>5</v>
      </c>
      <c r="B27" s="181"/>
      <c r="C27" s="184"/>
      <c r="D27" s="152"/>
      <c r="E27" s="213">
        <f>IF(O27="有",給与所得!N$15*0.3,給与所得!N$15)</f>
        <v>0</v>
      </c>
      <c r="F27" s="150"/>
      <c r="G27" s="190">
        <f>年金所得!L10</f>
        <v>0</v>
      </c>
      <c r="H27" s="150"/>
      <c r="I27" s="190">
        <f>年金所得!L20</f>
        <v>0</v>
      </c>
      <c r="J27" s="150"/>
      <c r="K27" s="192">
        <f>IF(AND(E27&gt;=1,OR(G27&gt;=1,I27&gt;=1)),(Q27+Q28)-100000,0)</f>
        <v>0</v>
      </c>
      <c r="L27" s="162">
        <f>E27+G27+I27+J27-K27</f>
        <v>0</v>
      </c>
      <c r="M27" s="188" t="str">
        <f>IF(AND(L27&gt;0,L27&lt;=24000000),430000,
IF(AND(L27&gt;24000000,L27&lt;=24500000),290000,
IF(AND(L27&gt;24500000,L27&lt;=25000000),150000,
IF(L27&gt;25000000,0,""))))</f>
        <v/>
      </c>
      <c r="N27" s="186">
        <f t="shared" ref="N27" si="0">IFERROR(IF(L27&lt;=0,0,IF(L27-M27&lt;=0,0,L27-M27)),"")</f>
        <v>0</v>
      </c>
      <c r="O27" s="195"/>
      <c r="Q27" s="94">
        <f>IF(E27&gt;=100000,100000,E27)</f>
        <v>0</v>
      </c>
      <c r="S27" s="95">
        <f>IF(C27&gt;=65,1,0)</f>
        <v>0</v>
      </c>
    </row>
    <row r="28" spans="1:19" s="92" customFormat="1" ht="30" customHeight="1" thickBot="1">
      <c r="A28" s="182"/>
      <c r="B28" s="183"/>
      <c r="C28" s="185"/>
      <c r="D28" s="153"/>
      <c r="E28" s="210"/>
      <c r="F28" s="151"/>
      <c r="G28" s="191"/>
      <c r="H28" s="151"/>
      <c r="I28" s="191"/>
      <c r="J28" s="151"/>
      <c r="K28" s="193"/>
      <c r="L28" s="163"/>
      <c r="M28" s="189"/>
      <c r="N28" s="187"/>
      <c r="O28" s="196"/>
      <c r="Q28" s="96">
        <f>IF(OR(G27&gt;=100000,I27&gt;=100000),100000,G27+I27)</f>
        <v>0</v>
      </c>
      <c r="S28" s="95"/>
    </row>
    <row r="29" spans="1:19" s="92" customFormat="1" ht="30" customHeight="1">
      <c r="A29" s="180" t="s">
        <v>6</v>
      </c>
      <c r="B29" s="181"/>
      <c r="C29" s="184"/>
      <c r="D29" s="152"/>
      <c r="E29" s="213">
        <f>IF(O29="有",給与所得!S$15*0.3,給与所得!S$15)</f>
        <v>0</v>
      </c>
      <c r="F29" s="150"/>
      <c r="G29" s="190">
        <f>年金所得!Q10</f>
        <v>0</v>
      </c>
      <c r="H29" s="150"/>
      <c r="I29" s="190">
        <f>年金所得!Q20</f>
        <v>0</v>
      </c>
      <c r="J29" s="150"/>
      <c r="K29" s="192">
        <f>IF(AND(E29&gt;=1,OR(G29&gt;=1,I29&gt;=1)),(Q29+Q30)-100000,0)</f>
        <v>0</v>
      </c>
      <c r="L29" s="162">
        <f>E29+G29+I29+J29-K29</f>
        <v>0</v>
      </c>
      <c r="M29" s="188" t="str">
        <f t="shared" ref="M29" si="1">IF(AND(L29&gt;0,L29&lt;=24000000),430000,
IF(AND(L29&gt;24000000,L29&lt;=24500000),290000,
IF(AND(L29&gt;24500000,L29&lt;=25000000),150000,
IF(L29&gt;25000000,0,""))))</f>
        <v/>
      </c>
      <c r="N29" s="186">
        <f t="shared" ref="N29" si="2">IFERROR(IF(L29&lt;=0,0,IF(L29-M29&lt;=0,0,L29-M29)),"")</f>
        <v>0</v>
      </c>
      <c r="O29" s="195"/>
      <c r="Q29" s="94">
        <f>IF(E29&gt;=100000,100000,E29)</f>
        <v>0</v>
      </c>
      <c r="S29" s="95">
        <f>IF(C29&gt;=65,1,0)</f>
        <v>0</v>
      </c>
    </row>
    <row r="30" spans="1:19" s="92" customFormat="1" ht="30" customHeight="1" thickBot="1">
      <c r="A30" s="182"/>
      <c r="B30" s="183"/>
      <c r="C30" s="185"/>
      <c r="D30" s="153"/>
      <c r="E30" s="210"/>
      <c r="F30" s="151"/>
      <c r="G30" s="191"/>
      <c r="H30" s="151"/>
      <c r="I30" s="191"/>
      <c r="J30" s="151"/>
      <c r="K30" s="193"/>
      <c r="L30" s="163"/>
      <c r="M30" s="189"/>
      <c r="N30" s="187"/>
      <c r="O30" s="196"/>
      <c r="Q30" s="96">
        <f>IF(OR(G29&gt;=100000,I29&gt;=100000),100000,G29+I29)</f>
        <v>0</v>
      </c>
      <c r="S30" s="95"/>
    </row>
    <row r="31" spans="1:19" s="92" customFormat="1" ht="30" customHeight="1">
      <c r="A31" s="180" t="s">
        <v>7</v>
      </c>
      <c r="B31" s="181"/>
      <c r="C31" s="184"/>
      <c r="D31" s="152"/>
      <c r="E31" s="213">
        <f>IF(O31="有",給与所得!X$15*0.3,給与所得!X$15)</f>
        <v>0</v>
      </c>
      <c r="F31" s="150"/>
      <c r="G31" s="190">
        <f>年金所得!V10</f>
        <v>0</v>
      </c>
      <c r="H31" s="150"/>
      <c r="I31" s="190">
        <f>年金所得!V20</f>
        <v>0</v>
      </c>
      <c r="J31" s="150"/>
      <c r="K31" s="192">
        <f>IF(AND(E31&gt;=1,OR(G31&gt;=1,I31&gt;=1)),(Q31+Q32)-100000,0)</f>
        <v>0</v>
      </c>
      <c r="L31" s="162">
        <f>E31+G31+I31+J31-K31</f>
        <v>0</v>
      </c>
      <c r="M31" s="188" t="str">
        <f t="shared" ref="M31" si="3">IF(AND(L31&gt;0,L31&lt;=24000000),430000,
IF(AND(L31&gt;24000000,L31&lt;=24500000),290000,
IF(AND(L31&gt;24500000,L31&lt;=25000000),150000,
IF(L31&gt;25000000,0,""))))</f>
        <v/>
      </c>
      <c r="N31" s="186">
        <f t="shared" ref="N31" si="4">IFERROR(IF(L31&lt;=0,0,IF(L31-M31&lt;=0,0,L31-M31)),"")</f>
        <v>0</v>
      </c>
      <c r="O31" s="195"/>
      <c r="Q31" s="94">
        <f>IF(E31&gt;=100000,100000,E31)</f>
        <v>0</v>
      </c>
      <c r="S31" s="95">
        <f>IF(C31&gt;=65,1,0)</f>
        <v>0</v>
      </c>
    </row>
    <row r="32" spans="1:19" s="92" customFormat="1" ht="30" customHeight="1" thickBot="1">
      <c r="A32" s="182"/>
      <c r="B32" s="183"/>
      <c r="C32" s="185"/>
      <c r="D32" s="153"/>
      <c r="E32" s="210"/>
      <c r="F32" s="151"/>
      <c r="G32" s="191"/>
      <c r="H32" s="151"/>
      <c r="I32" s="191"/>
      <c r="J32" s="151"/>
      <c r="K32" s="193"/>
      <c r="L32" s="163"/>
      <c r="M32" s="189"/>
      <c r="N32" s="187"/>
      <c r="O32" s="196"/>
      <c r="Q32" s="96">
        <f>IF(OR(G31&gt;=100000,I31&gt;=100000),100000,G31+I31)</f>
        <v>0</v>
      </c>
      <c r="S32" s="95"/>
    </row>
    <row r="33" spans="1:19" s="92" customFormat="1" ht="30" customHeight="1">
      <c r="A33" s="180" t="s">
        <v>8</v>
      </c>
      <c r="B33" s="181"/>
      <c r="C33" s="184"/>
      <c r="D33" s="152"/>
      <c r="E33" s="213">
        <f>IF(O33="有",給与所得!AC$15*0.3,給与所得!AC$15)</f>
        <v>0</v>
      </c>
      <c r="F33" s="150"/>
      <c r="G33" s="190">
        <f>年金所得!AA10</f>
        <v>0</v>
      </c>
      <c r="H33" s="150"/>
      <c r="I33" s="190">
        <f>年金所得!AA20</f>
        <v>0</v>
      </c>
      <c r="J33" s="150"/>
      <c r="K33" s="192">
        <f>IF(AND(E33&gt;=1,OR(G33&gt;=1,I33&gt;=1)),(Q33+Q34)-100000,0)</f>
        <v>0</v>
      </c>
      <c r="L33" s="162">
        <f>E33+G33+I33+J33-K33</f>
        <v>0</v>
      </c>
      <c r="M33" s="188" t="str">
        <f t="shared" ref="M33" si="5">IF(AND(L33&gt;0,L33&lt;=24000000),430000,
IF(AND(L33&gt;24000000,L33&lt;=24500000),290000,
IF(AND(L33&gt;24500000,L33&lt;=25000000),150000,
IF(L33&gt;25000000,0,""))))</f>
        <v/>
      </c>
      <c r="N33" s="186">
        <f t="shared" ref="N33" si="6">IFERROR(IF(L33&lt;=0,0,IF(L33-M33&lt;=0,0,L33-M33)),"")</f>
        <v>0</v>
      </c>
      <c r="O33" s="195"/>
      <c r="Q33" s="94">
        <f>IF(E33&gt;=100000,100000,E33)</f>
        <v>0</v>
      </c>
      <c r="S33" s="95">
        <f>IF(C33&gt;=65,1,0)</f>
        <v>0</v>
      </c>
    </row>
    <row r="34" spans="1:19" s="92" customFormat="1" ht="30" customHeight="1" thickBot="1">
      <c r="A34" s="182"/>
      <c r="B34" s="183"/>
      <c r="C34" s="185"/>
      <c r="D34" s="153"/>
      <c r="E34" s="210"/>
      <c r="F34" s="151"/>
      <c r="G34" s="191"/>
      <c r="H34" s="151"/>
      <c r="I34" s="191"/>
      <c r="J34" s="151"/>
      <c r="K34" s="193"/>
      <c r="L34" s="163"/>
      <c r="M34" s="189"/>
      <c r="N34" s="187"/>
      <c r="O34" s="196"/>
      <c r="Q34" s="96">
        <f>IF(OR(G33&gt;=100000,I33&gt;=100000),100000,G33+I33)</f>
        <v>0</v>
      </c>
      <c r="S34" s="95"/>
    </row>
    <row r="35" spans="1:19" s="92" customFormat="1" ht="30" customHeight="1">
      <c r="A35" s="180" t="s">
        <v>9</v>
      </c>
      <c r="B35" s="181"/>
      <c r="C35" s="184"/>
      <c r="D35" s="152"/>
      <c r="E35" s="213">
        <f>IF(O35="有",給与所得!AH$15*0.3,給与所得!AH$15)</f>
        <v>0</v>
      </c>
      <c r="F35" s="150"/>
      <c r="G35" s="190">
        <f>年金所得!AF10</f>
        <v>0</v>
      </c>
      <c r="H35" s="150"/>
      <c r="I35" s="190">
        <f>年金所得!AF20</f>
        <v>0</v>
      </c>
      <c r="J35" s="150"/>
      <c r="K35" s="192">
        <f>IF(AND(E35&gt;=1,OR(G35&gt;=1,I35&gt;=1)),(Q35+Q36)-100000,0)</f>
        <v>0</v>
      </c>
      <c r="L35" s="162">
        <f>E35+G35+I35+J35-K35</f>
        <v>0</v>
      </c>
      <c r="M35" s="188" t="str">
        <f t="shared" ref="M35" si="7">IF(AND(L35&gt;0,L35&lt;=24000000),430000,
IF(AND(L35&gt;24000000,L35&lt;=24500000),290000,
IF(AND(L35&gt;24500000,L35&lt;=25000000),150000,
IF(L35&gt;25000000,0,""))))</f>
        <v/>
      </c>
      <c r="N35" s="186">
        <f t="shared" ref="N35" si="8">IFERROR(IF(L35&lt;=0,0,IF(L35-M35&lt;=0,0,L35-M35)),"")</f>
        <v>0</v>
      </c>
      <c r="O35" s="195"/>
      <c r="Q35" s="94">
        <f>IF(E35&gt;=100000,100000,E35)</f>
        <v>0</v>
      </c>
      <c r="S35" s="95">
        <f>IF(C35&gt;=65,1,0)</f>
        <v>0</v>
      </c>
    </row>
    <row r="36" spans="1:19" s="92" customFormat="1" ht="30" customHeight="1" thickBot="1">
      <c r="A36" s="182"/>
      <c r="B36" s="183"/>
      <c r="C36" s="185"/>
      <c r="D36" s="153"/>
      <c r="E36" s="210"/>
      <c r="F36" s="151"/>
      <c r="G36" s="191"/>
      <c r="H36" s="151"/>
      <c r="I36" s="191"/>
      <c r="J36" s="151"/>
      <c r="K36" s="193"/>
      <c r="L36" s="163"/>
      <c r="M36" s="189"/>
      <c r="N36" s="187"/>
      <c r="O36" s="196"/>
      <c r="Q36" s="96">
        <f>IF(OR(G35&gt;=100000,I35&gt;=100000),100000,G35+I35)</f>
        <v>0</v>
      </c>
      <c r="S36" s="95"/>
    </row>
    <row r="37" spans="1:19" s="92" customFormat="1" ht="30" customHeight="1">
      <c r="A37" s="180" t="s">
        <v>10</v>
      </c>
      <c r="B37" s="181"/>
      <c r="C37" s="184"/>
      <c r="D37" s="152"/>
      <c r="E37" s="149">
        <f>IF(O37="有",給与所得!AM$15*0.3,給与所得!AM$15)</f>
        <v>0</v>
      </c>
      <c r="F37" s="150"/>
      <c r="G37" s="149">
        <f>年金所得!AK10</f>
        <v>0</v>
      </c>
      <c r="H37" s="150"/>
      <c r="I37" s="190">
        <f>年金所得!AK20</f>
        <v>0</v>
      </c>
      <c r="J37" s="150"/>
      <c r="K37" s="192">
        <f>IF(AND(E37&gt;=1,OR(G37&gt;=1,I37&gt;=1)),(Q37+Q38)-100000,0)</f>
        <v>0</v>
      </c>
      <c r="L37" s="162">
        <f>E37+G37+I37+J37-K37</f>
        <v>0</v>
      </c>
      <c r="M37" s="188" t="str">
        <f t="shared" ref="M37" si="9">IF(AND(L37&gt;0,L37&lt;=24000000),430000,
IF(AND(L37&gt;24000000,L37&lt;=24500000),290000,
IF(AND(L37&gt;24500000,L37&lt;=25000000),150000,
IF(L37&gt;25000000,0,""))))</f>
        <v/>
      </c>
      <c r="N37" s="186">
        <f t="shared" ref="N37" si="10">IFERROR(IF(L37&lt;=0,0,IF(L37-M37&lt;=0,0,L37-M37)),"")</f>
        <v>0</v>
      </c>
      <c r="O37" s="195"/>
      <c r="Q37" s="94">
        <f>IF(E37&gt;=100000,100000,E37)</f>
        <v>0</v>
      </c>
      <c r="S37" s="95">
        <f>IF(C37&gt;=65,1,0)</f>
        <v>0</v>
      </c>
    </row>
    <row r="38" spans="1:19" s="92" customFormat="1" ht="30" customHeight="1" thickBot="1">
      <c r="A38" s="182"/>
      <c r="B38" s="183"/>
      <c r="C38" s="185"/>
      <c r="D38" s="153"/>
      <c r="E38" s="149"/>
      <c r="F38" s="151"/>
      <c r="G38" s="149"/>
      <c r="H38" s="151"/>
      <c r="I38" s="191"/>
      <c r="J38" s="151"/>
      <c r="K38" s="193"/>
      <c r="L38" s="163"/>
      <c r="M38" s="189"/>
      <c r="N38" s="187"/>
      <c r="O38" s="196"/>
      <c r="Q38" s="96">
        <f>IF(OR(G37&gt;=100000,I37&gt;=100000),100000,G37+I37)</f>
        <v>0</v>
      </c>
    </row>
    <row r="39" spans="1:19" s="92" customFormat="1" ht="30" customHeight="1">
      <c r="A39" s="103"/>
      <c r="B39" s="107"/>
      <c r="C39" s="103"/>
      <c r="D39" s="103"/>
      <c r="E39" s="103"/>
      <c r="F39" s="107"/>
      <c r="G39" s="107"/>
      <c r="H39" s="107"/>
      <c r="I39" s="107"/>
      <c r="J39" s="107"/>
      <c r="K39" s="107"/>
      <c r="L39" s="107"/>
      <c r="M39" s="107"/>
      <c r="N39" s="107"/>
      <c r="O39" s="103"/>
    </row>
    <row r="40" spans="1:19" s="92" customFormat="1" ht="34.5" customHeight="1">
      <c r="A40" s="108">
        <v>3</v>
      </c>
      <c r="B40" s="177" t="s">
        <v>192</v>
      </c>
      <c r="C40" s="178"/>
      <c r="D40" s="179"/>
      <c r="E40" s="103"/>
      <c r="F40" s="107"/>
      <c r="G40" s="107"/>
      <c r="H40" s="107"/>
      <c r="I40" s="107"/>
      <c r="J40" s="107"/>
      <c r="K40" s="107"/>
      <c r="L40" s="107"/>
      <c r="M40" s="107"/>
      <c r="N40" s="107"/>
      <c r="O40" s="103"/>
    </row>
    <row r="41" spans="1:19" s="92" customFormat="1" ht="35.1" customHeight="1">
      <c r="A41" s="103"/>
      <c r="B41" s="103" t="s">
        <v>205</v>
      </c>
      <c r="C41" s="103"/>
      <c r="D41" s="103"/>
      <c r="E41" s="103"/>
      <c r="F41" s="103"/>
      <c r="G41" s="103"/>
      <c r="H41" s="103"/>
      <c r="I41" s="103"/>
      <c r="J41" s="103"/>
      <c r="K41" s="103"/>
      <c r="L41" s="103"/>
      <c r="M41" s="103"/>
      <c r="N41" s="103"/>
      <c r="O41" s="103"/>
    </row>
    <row r="42" spans="1:19" s="92" customFormat="1" ht="35.1" customHeight="1">
      <c r="A42" s="103"/>
      <c r="B42" s="103" t="s">
        <v>194</v>
      </c>
      <c r="C42" s="103"/>
      <c r="D42" s="103"/>
      <c r="E42" s="103"/>
      <c r="F42" s="103"/>
      <c r="G42" s="103"/>
      <c r="H42" s="103"/>
      <c r="I42" s="103"/>
      <c r="J42" s="103"/>
      <c r="K42" s="103"/>
      <c r="L42" s="103"/>
      <c r="M42" s="103"/>
      <c r="N42" s="103"/>
      <c r="O42" s="103"/>
    </row>
    <row r="43" spans="1:19" s="92" customFormat="1" ht="35.1" customHeight="1">
      <c r="A43" s="103"/>
      <c r="B43" s="109" t="s">
        <v>20</v>
      </c>
      <c r="C43" s="109"/>
      <c r="D43" s="109"/>
      <c r="E43" s="109"/>
      <c r="F43" s="109"/>
      <c r="G43" s="109"/>
      <c r="H43" s="109"/>
      <c r="I43" s="109"/>
      <c r="J43" s="109"/>
      <c r="K43" s="109"/>
      <c r="L43" s="109"/>
      <c r="M43" s="109"/>
      <c r="N43" s="109"/>
      <c r="O43" s="103"/>
    </row>
    <row r="44" spans="1:19" s="92" customFormat="1" ht="35.1" customHeight="1">
      <c r="A44" s="103"/>
      <c r="B44" s="109" t="s">
        <v>70</v>
      </c>
      <c r="C44" s="109"/>
      <c r="D44" s="109"/>
      <c r="E44" s="109"/>
      <c r="F44" s="109"/>
      <c r="G44" s="109"/>
      <c r="H44" s="109"/>
      <c r="I44" s="109"/>
      <c r="J44" s="109"/>
      <c r="K44" s="109"/>
      <c r="L44" s="109"/>
      <c r="M44" s="109"/>
      <c r="N44" s="109"/>
      <c r="O44" s="103"/>
    </row>
    <row r="45" spans="1:19" s="92" customFormat="1" ht="15" customHeight="1">
      <c r="A45" s="103"/>
      <c r="B45" s="107"/>
      <c r="C45" s="103"/>
      <c r="D45" s="103"/>
      <c r="E45" s="103"/>
      <c r="F45" s="107"/>
      <c r="G45" s="107"/>
      <c r="H45" s="107"/>
      <c r="I45" s="107"/>
      <c r="J45" s="107"/>
      <c r="K45" s="107"/>
      <c r="L45" s="107"/>
      <c r="M45" s="107"/>
      <c r="N45" s="107"/>
      <c r="O45" s="103"/>
    </row>
    <row r="46" spans="1:19" s="92" customFormat="1" ht="30" customHeight="1">
      <c r="A46" s="175" t="s">
        <v>71</v>
      </c>
      <c r="B46" s="175"/>
      <c r="C46" s="175"/>
      <c r="D46" s="167" t="s">
        <v>75</v>
      </c>
      <c r="E46" s="169" t="s">
        <v>204</v>
      </c>
      <c r="F46" s="171" t="s">
        <v>76</v>
      </c>
      <c r="G46" s="172"/>
      <c r="H46" s="172"/>
      <c r="I46" s="173"/>
      <c r="J46" s="160" t="s">
        <v>62</v>
      </c>
      <c r="K46" s="169" t="s">
        <v>63</v>
      </c>
      <c r="L46" s="160" t="s">
        <v>11</v>
      </c>
      <c r="M46" s="103"/>
      <c r="N46" s="103"/>
      <c r="O46" s="113"/>
      <c r="P46" s="93"/>
    </row>
    <row r="47" spans="1:19" s="92" customFormat="1" ht="30" customHeight="1" thickBot="1">
      <c r="A47" s="175"/>
      <c r="B47" s="175"/>
      <c r="C47" s="175"/>
      <c r="D47" s="168"/>
      <c r="E47" s="170"/>
      <c r="F47" s="112" t="s">
        <v>2</v>
      </c>
      <c r="G47" s="112" t="s">
        <v>32</v>
      </c>
      <c r="H47" s="112" t="s">
        <v>3</v>
      </c>
      <c r="I47" s="112" t="s">
        <v>32</v>
      </c>
      <c r="J47" s="161"/>
      <c r="K47" s="174"/>
      <c r="L47" s="161"/>
      <c r="M47" s="103"/>
      <c r="N47" s="103"/>
      <c r="O47" s="114"/>
    </row>
    <row r="48" spans="1:19" s="92" customFormat="1" ht="30" customHeight="1">
      <c r="A48" s="175"/>
      <c r="B48" s="175"/>
      <c r="C48" s="176"/>
      <c r="D48" s="152"/>
      <c r="E48" s="224">
        <f>給与所得!AR15</f>
        <v>0</v>
      </c>
      <c r="F48" s="150"/>
      <c r="G48" s="149">
        <f>年金所得!AP10</f>
        <v>0</v>
      </c>
      <c r="H48" s="150"/>
      <c r="I48" s="190">
        <f>年金所得!AP20</f>
        <v>0</v>
      </c>
      <c r="J48" s="150"/>
      <c r="K48" s="192">
        <f>IF(AND(E48&gt;=1,OR(G48&gt;=1,I48&gt;=1)),(Q48+Q49)-100000,0)</f>
        <v>0</v>
      </c>
      <c r="L48" s="162">
        <f>E48+G48+I48-K48+J48</f>
        <v>0</v>
      </c>
      <c r="M48" s="115"/>
      <c r="N48" s="116"/>
      <c r="O48" s="103"/>
      <c r="Q48" s="94">
        <f>IF(E48&gt;=100000,100000,E48)</f>
        <v>0</v>
      </c>
      <c r="S48" s="95">
        <f>IF(C48&gt;=65,1,0)</f>
        <v>0</v>
      </c>
    </row>
    <row r="49" spans="1:20" s="92" customFormat="1" ht="30" customHeight="1" thickBot="1">
      <c r="A49" s="175"/>
      <c r="B49" s="175"/>
      <c r="C49" s="176"/>
      <c r="D49" s="153"/>
      <c r="E49" s="149"/>
      <c r="F49" s="151"/>
      <c r="G49" s="149"/>
      <c r="H49" s="151"/>
      <c r="I49" s="191"/>
      <c r="J49" s="151"/>
      <c r="K49" s="193"/>
      <c r="L49" s="163"/>
      <c r="M49" s="115"/>
      <c r="N49" s="116"/>
      <c r="O49" s="103"/>
      <c r="Q49" s="96">
        <f>IF(OR(G48&gt;=100000,I48&gt;=100000),100000,G48+I48)</f>
        <v>0</v>
      </c>
    </row>
    <row r="50" spans="1:20" ht="30" customHeight="1">
      <c r="A50" s="103"/>
      <c r="B50" s="107"/>
      <c r="C50" s="103"/>
      <c r="D50" s="103"/>
      <c r="E50" s="103"/>
      <c r="F50" s="107"/>
      <c r="G50" s="107"/>
      <c r="H50" s="107"/>
      <c r="I50" s="107"/>
      <c r="J50" s="107"/>
      <c r="K50" s="107"/>
      <c r="L50" s="107"/>
      <c r="M50" s="107"/>
      <c r="N50" s="107"/>
      <c r="O50" s="103"/>
    </row>
    <row r="51" spans="1:20" ht="35.1" customHeight="1">
      <c r="A51" s="108">
        <v>4</v>
      </c>
      <c r="B51" s="166" t="s">
        <v>77</v>
      </c>
      <c r="C51" s="166"/>
      <c r="D51" s="166"/>
      <c r="E51" s="103"/>
      <c r="F51" s="107"/>
      <c r="G51" s="107"/>
      <c r="H51" s="107"/>
      <c r="I51" s="107"/>
      <c r="J51" s="107"/>
      <c r="K51" s="107"/>
      <c r="L51" s="107"/>
      <c r="M51" s="107"/>
      <c r="N51" s="107"/>
      <c r="O51" s="103"/>
    </row>
    <row r="52" spans="1:20" ht="45.75" customHeight="1">
      <c r="A52" s="217" t="s">
        <v>200</v>
      </c>
      <c r="B52" s="217"/>
      <c r="C52" s="217"/>
      <c r="D52" s="117">
        <f>税額計算!W57</f>
        <v>12</v>
      </c>
      <c r="E52" s="164" t="s">
        <v>201</v>
      </c>
      <c r="F52" s="165"/>
      <c r="G52" s="102">
        <f>H65</f>
        <v>0</v>
      </c>
      <c r="H52" s="118" t="s">
        <v>96</v>
      </c>
      <c r="I52" s="164" t="s">
        <v>176</v>
      </c>
      <c r="J52" s="164"/>
      <c r="K52" s="164"/>
      <c r="L52" s="119">
        <f>IFERROR(G52/D52,"")</f>
        <v>0</v>
      </c>
      <c r="M52" s="118" t="s">
        <v>177</v>
      </c>
      <c r="N52" s="107"/>
      <c r="O52" s="103"/>
    </row>
    <row r="53" spans="1:20" ht="15" customHeight="1">
      <c r="A53" s="103"/>
      <c r="B53" s="107"/>
      <c r="C53" s="107"/>
      <c r="D53" s="103"/>
      <c r="E53" s="103"/>
      <c r="F53" s="107"/>
      <c r="G53" s="107"/>
      <c r="H53" s="107"/>
      <c r="I53" s="107"/>
      <c r="J53" s="107"/>
      <c r="K53" s="107"/>
      <c r="L53" s="107"/>
      <c r="M53" s="107"/>
      <c r="N53" s="107"/>
      <c r="O53" s="103"/>
    </row>
    <row r="54" spans="1:20" ht="34.5" customHeight="1">
      <c r="A54" s="158" t="s">
        <v>211</v>
      </c>
      <c r="B54" s="158"/>
      <c r="C54" s="126" t="s">
        <v>78</v>
      </c>
      <c r="D54" s="120" t="s">
        <v>79</v>
      </c>
      <c r="E54" s="127" t="s">
        <v>80</v>
      </c>
      <c r="F54" s="126" t="s">
        <v>213</v>
      </c>
      <c r="G54" s="126" t="s">
        <v>214</v>
      </c>
      <c r="H54" s="107"/>
      <c r="P54" s="122"/>
      <c r="R54" s="145" t="s">
        <v>226</v>
      </c>
      <c r="S54" s="146" t="s">
        <v>227</v>
      </c>
      <c r="T54" s="146" t="s">
        <v>228</v>
      </c>
    </row>
    <row r="55" spans="1:20" ht="35.1" customHeight="1">
      <c r="A55" s="156" t="s">
        <v>4</v>
      </c>
      <c r="B55" s="157"/>
      <c r="C55" s="123">
        <f>税額計算!R71*税額計算!E71/12</f>
        <v>0</v>
      </c>
      <c r="D55" s="123">
        <f>税額計算!AD83</f>
        <v>0</v>
      </c>
      <c r="E55" s="123">
        <f>税額計算!Z95</f>
        <v>0</v>
      </c>
      <c r="F55" s="132">
        <f>税額計算!X71*税額計算!E71/12</f>
        <v>0</v>
      </c>
      <c r="G55" s="124">
        <f>IFERROR(R56+S56+T56+F55,"")</f>
        <v>0</v>
      </c>
      <c r="H55" s="142"/>
      <c r="P55" s="130"/>
      <c r="R55" s="126" t="s">
        <v>212</v>
      </c>
      <c r="S55" s="126" t="s">
        <v>212</v>
      </c>
      <c r="T55" s="126" t="s">
        <v>212</v>
      </c>
    </row>
    <row r="56" spans="1:20" ht="35.1" customHeight="1">
      <c r="A56" s="156" t="s">
        <v>5</v>
      </c>
      <c r="B56" s="157"/>
      <c r="C56" s="123">
        <f>税額計算!R72*税額計算!E72/12</f>
        <v>0</v>
      </c>
      <c r="D56" s="123">
        <f>税額計算!AD84</f>
        <v>0</v>
      </c>
      <c r="E56" s="123">
        <f>税額計算!Z96</f>
        <v>0</v>
      </c>
      <c r="F56" s="132">
        <f>税額計算!X72*税額計算!E72/12</f>
        <v>0</v>
      </c>
      <c r="G56" s="124">
        <f t="shared" ref="G56:G61" si="11">IFERROR(R57+S57+T57+F56,"")</f>
        <v>0</v>
      </c>
      <c r="H56" s="142"/>
      <c r="P56" s="130"/>
      <c r="R56" s="124">
        <f>IF(MOD(C55,50)=0,C55,ROUNDDOWN(C55/50,0)*50)</f>
        <v>0</v>
      </c>
      <c r="S56" s="124">
        <f t="shared" ref="R56:T62" si="12">IF(MOD(D55,50)=0,D55,ROUNDDOWN(D55/50,0)*50)</f>
        <v>0</v>
      </c>
      <c r="T56" s="124">
        <f t="shared" si="12"/>
        <v>0</v>
      </c>
    </row>
    <row r="57" spans="1:20" ht="35.1" customHeight="1">
      <c r="A57" s="156" t="s">
        <v>6</v>
      </c>
      <c r="B57" s="157"/>
      <c r="C57" s="123">
        <f>税額計算!R73*税額計算!E73/12</f>
        <v>0</v>
      </c>
      <c r="D57" s="123">
        <f>税額計算!AD85</f>
        <v>0</v>
      </c>
      <c r="E57" s="123">
        <f>税額計算!Z97</f>
        <v>0</v>
      </c>
      <c r="F57" s="132">
        <f>税額計算!X73*税額計算!E73/12</f>
        <v>0</v>
      </c>
      <c r="G57" s="124">
        <f t="shared" si="11"/>
        <v>0</v>
      </c>
      <c r="H57" s="142"/>
      <c r="P57" s="130"/>
      <c r="R57" s="124">
        <f t="shared" si="12"/>
        <v>0</v>
      </c>
      <c r="S57" s="124">
        <f t="shared" si="12"/>
        <v>0</v>
      </c>
      <c r="T57" s="124">
        <f t="shared" si="12"/>
        <v>0</v>
      </c>
    </row>
    <row r="58" spans="1:20" ht="35.1" customHeight="1">
      <c r="A58" s="156" t="s">
        <v>7</v>
      </c>
      <c r="B58" s="157"/>
      <c r="C58" s="123">
        <f>税額計算!R74*税額計算!E74/12</f>
        <v>0</v>
      </c>
      <c r="D58" s="123">
        <f>税額計算!AD86</f>
        <v>0</v>
      </c>
      <c r="E58" s="123">
        <f>税額計算!Z98</f>
        <v>0</v>
      </c>
      <c r="F58" s="132">
        <f>税額計算!X74*税額計算!E74/12</f>
        <v>0</v>
      </c>
      <c r="G58" s="124">
        <f t="shared" si="11"/>
        <v>0</v>
      </c>
      <c r="H58" s="142"/>
      <c r="P58" s="103"/>
      <c r="R58" s="124">
        <f t="shared" si="12"/>
        <v>0</v>
      </c>
      <c r="S58" s="124">
        <f t="shared" si="12"/>
        <v>0</v>
      </c>
      <c r="T58" s="124">
        <f t="shared" si="12"/>
        <v>0</v>
      </c>
    </row>
    <row r="59" spans="1:20" ht="35.1" customHeight="1">
      <c r="A59" s="156" t="s">
        <v>8</v>
      </c>
      <c r="B59" s="157"/>
      <c r="C59" s="123">
        <f>税額計算!R75*税額計算!E75/12</f>
        <v>0</v>
      </c>
      <c r="D59" s="123">
        <f>税額計算!AD87</f>
        <v>0</v>
      </c>
      <c r="E59" s="123">
        <f>税額計算!Z99</f>
        <v>0</v>
      </c>
      <c r="F59" s="132">
        <f>税額計算!X75*税額計算!E75/12</f>
        <v>0</v>
      </c>
      <c r="G59" s="124">
        <f t="shared" si="11"/>
        <v>0</v>
      </c>
      <c r="H59" s="142"/>
      <c r="P59" s="118"/>
      <c r="R59" s="124">
        <f t="shared" si="12"/>
        <v>0</v>
      </c>
      <c r="S59" s="124">
        <f t="shared" si="12"/>
        <v>0</v>
      </c>
      <c r="T59" s="124">
        <f t="shared" si="12"/>
        <v>0</v>
      </c>
    </row>
    <row r="60" spans="1:20" ht="35.1" customHeight="1">
      <c r="A60" s="156" t="s">
        <v>9</v>
      </c>
      <c r="B60" s="157"/>
      <c r="C60" s="123">
        <f>税額計算!R76*税額計算!E76/12</f>
        <v>0</v>
      </c>
      <c r="D60" s="123">
        <f>税額計算!AD88</f>
        <v>0</v>
      </c>
      <c r="E60" s="123">
        <f>税額計算!Z100</f>
        <v>0</v>
      </c>
      <c r="F60" s="132">
        <f>税額計算!X76*税額計算!E76/12</f>
        <v>0</v>
      </c>
      <c r="G60" s="124">
        <f t="shared" si="11"/>
        <v>0</v>
      </c>
      <c r="H60" s="142"/>
      <c r="P60" s="103"/>
      <c r="R60" s="124">
        <f t="shared" si="12"/>
        <v>0</v>
      </c>
      <c r="S60" s="124">
        <f t="shared" si="12"/>
        <v>0</v>
      </c>
      <c r="T60" s="124">
        <f t="shared" si="12"/>
        <v>0</v>
      </c>
    </row>
    <row r="61" spans="1:20" ht="34.5" customHeight="1">
      <c r="A61" s="156" t="s">
        <v>10</v>
      </c>
      <c r="B61" s="157"/>
      <c r="C61" s="123">
        <f>税額計算!R77*税額計算!E77/12</f>
        <v>0</v>
      </c>
      <c r="D61" s="123">
        <f>税額計算!AD89</f>
        <v>0</v>
      </c>
      <c r="E61" s="123">
        <f>税額計算!Z101</f>
        <v>0</v>
      </c>
      <c r="F61" s="132">
        <f>税額計算!X77*税額計算!E77/12</f>
        <v>0</v>
      </c>
      <c r="G61" s="124">
        <f t="shared" si="11"/>
        <v>0</v>
      </c>
      <c r="H61" s="142"/>
      <c r="P61" s="109"/>
      <c r="R61" s="124">
        <f t="shared" si="12"/>
        <v>0</v>
      </c>
      <c r="S61" s="124">
        <f t="shared" si="12"/>
        <v>0</v>
      </c>
      <c r="T61" s="124">
        <f t="shared" si="12"/>
        <v>0</v>
      </c>
    </row>
    <row r="62" spans="1:20" s="1" customFormat="1" ht="15" customHeight="1">
      <c r="A62" s="180" t="s">
        <v>181</v>
      </c>
      <c r="B62" s="215"/>
      <c r="C62" s="140" t="s">
        <v>215</v>
      </c>
      <c r="D62" s="140" t="s">
        <v>216</v>
      </c>
      <c r="E62" s="140" t="s">
        <v>217</v>
      </c>
      <c r="F62" s="137" t="s">
        <v>219</v>
      </c>
      <c r="G62" s="140" t="s">
        <v>220</v>
      </c>
      <c r="H62" s="141"/>
      <c r="P62" s="106"/>
      <c r="R62" s="214">
        <f t="shared" si="12"/>
        <v>0</v>
      </c>
      <c r="S62" s="214">
        <f t="shared" si="12"/>
        <v>0</v>
      </c>
      <c r="T62" s="214">
        <f t="shared" si="12"/>
        <v>0</v>
      </c>
    </row>
    <row r="63" spans="1:20" ht="35.1" customHeight="1">
      <c r="A63" s="182"/>
      <c r="B63" s="216"/>
      <c r="C63" s="135">
        <f>SUM(R56:R63)</f>
        <v>0</v>
      </c>
      <c r="D63" s="135">
        <f>SUM(S56:S63)</f>
        <v>0</v>
      </c>
      <c r="E63" s="135">
        <f>SUM(T56:T63)</f>
        <v>0</v>
      </c>
      <c r="F63" s="222">
        <f>SUM(F55:F61)</f>
        <v>0</v>
      </c>
      <c r="G63" s="135">
        <f>SUM(C63:F63)</f>
        <v>0</v>
      </c>
      <c r="H63" s="142"/>
      <c r="P63" s="109"/>
      <c r="R63" s="214"/>
      <c r="S63" s="214"/>
      <c r="T63" s="214"/>
    </row>
    <row r="64" spans="1:20" s="139" customFormat="1" ht="15" customHeight="1">
      <c r="A64" s="218" t="s">
        <v>218</v>
      </c>
      <c r="B64" s="219"/>
      <c r="C64" s="140" t="s">
        <v>222</v>
      </c>
      <c r="D64" s="140" t="s">
        <v>223</v>
      </c>
      <c r="E64" s="140" t="s">
        <v>224</v>
      </c>
      <c r="F64" s="222"/>
      <c r="G64" s="140" t="s">
        <v>225</v>
      </c>
      <c r="H64" s="141"/>
      <c r="M64" s="138"/>
      <c r="N64" s="138"/>
      <c r="R64" s="144"/>
      <c r="S64" s="143"/>
      <c r="T64" s="143"/>
    </row>
    <row r="65" spans="1:20" ht="35.1" customHeight="1">
      <c r="A65" s="220"/>
      <c r="B65" s="221"/>
      <c r="C65" s="135">
        <f>IF(C63&gt;C66,C66,(C63))</f>
        <v>0</v>
      </c>
      <c r="D65" s="135">
        <f t="shared" ref="D65:E65" si="13">IF(D63&gt;D66,D66,(D63))</f>
        <v>0</v>
      </c>
      <c r="E65" s="135">
        <f t="shared" si="13"/>
        <v>0</v>
      </c>
      <c r="F65" s="223"/>
      <c r="G65" s="135">
        <f>C65+D65+E65+F63</f>
        <v>0</v>
      </c>
      <c r="H65" s="136">
        <f>IF(G65&gt;G66,G66,ROUNDDOWN(G65,-2))</f>
        <v>0</v>
      </c>
      <c r="M65" s="109"/>
      <c r="N65" s="109"/>
      <c r="O65" s="109"/>
      <c r="P65" s="109"/>
      <c r="R65" s="139"/>
      <c r="S65" s="139"/>
      <c r="T65" s="139"/>
    </row>
    <row r="66" spans="1:20" ht="35.1" customHeight="1">
      <c r="A66" s="158" t="s">
        <v>191</v>
      </c>
      <c r="B66" s="159"/>
      <c r="C66" s="125">
        <v>660000</v>
      </c>
      <c r="D66" s="125">
        <v>260000</v>
      </c>
      <c r="E66" s="125">
        <v>170000</v>
      </c>
      <c r="F66" s="133"/>
      <c r="G66" s="125">
        <f>SUM(C66:E66)</f>
        <v>1090000</v>
      </c>
      <c r="M66" s="107"/>
      <c r="N66" s="107"/>
      <c r="O66" s="107"/>
      <c r="P66" s="103"/>
      <c r="S66" s="1"/>
      <c r="T66" s="1"/>
    </row>
    <row r="67" spans="1:20" ht="43.5" customHeight="1">
      <c r="A67" s="103"/>
      <c r="B67" s="107"/>
      <c r="C67" s="103"/>
      <c r="D67" s="103"/>
      <c r="E67" s="103"/>
      <c r="F67" s="107"/>
      <c r="G67" s="107"/>
      <c r="H67" s="107"/>
      <c r="J67" s="107"/>
      <c r="L67" s="107"/>
      <c r="M67" s="107"/>
      <c r="N67" s="107"/>
      <c r="O67" s="107"/>
      <c r="P67" s="107"/>
      <c r="R67" s="143"/>
      <c r="S67" s="143"/>
      <c r="T67" s="143"/>
    </row>
    <row r="68" spans="1:20" ht="18.75" customHeight="1">
      <c r="J68" s="100"/>
      <c r="K68" s="100"/>
      <c r="L68" s="100"/>
      <c r="M68" s="100"/>
      <c r="N68" s="100"/>
      <c r="O68" s="100"/>
    </row>
    <row r="69" spans="1:20" ht="33">
      <c r="B69" s="121" t="s">
        <v>188</v>
      </c>
      <c r="C69" s="121"/>
      <c r="D69" s="121"/>
      <c r="E69" s="121"/>
      <c r="F69" s="121"/>
      <c r="G69" s="121"/>
    </row>
    <row r="70" spans="1:20" ht="57.75" customHeight="1">
      <c r="B70" s="148" t="s">
        <v>203</v>
      </c>
      <c r="C70" s="147"/>
      <c r="D70" s="147"/>
      <c r="E70" s="147"/>
      <c r="F70" s="147"/>
      <c r="G70" s="147"/>
      <c r="H70" s="147"/>
      <c r="I70" s="147"/>
      <c r="J70" s="147"/>
      <c r="K70" s="147"/>
      <c r="L70" s="147"/>
    </row>
    <row r="71" spans="1:20" ht="33">
      <c r="B71" s="131" t="s">
        <v>189</v>
      </c>
      <c r="C71" s="131"/>
      <c r="D71" s="131"/>
      <c r="E71" s="131"/>
      <c r="F71" s="131"/>
      <c r="G71" s="131"/>
    </row>
    <row r="72" spans="1:20" ht="33">
      <c r="B72" s="118" t="s">
        <v>207</v>
      </c>
      <c r="C72" s="118"/>
      <c r="D72" s="118"/>
      <c r="E72" s="118"/>
      <c r="F72" s="118"/>
      <c r="G72" s="118"/>
    </row>
    <row r="73" spans="1:20" ht="33">
      <c r="B73" s="103" t="s">
        <v>208</v>
      </c>
      <c r="C73" s="103"/>
      <c r="D73" s="103"/>
      <c r="E73" s="103"/>
      <c r="F73" s="103"/>
      <c r="G73" s="103"/>
    </row>
    <row r="74" spans="1:20" ht="33">
      <c r="B74" s="109" t="s">
        <v>209</v>
      </c>
      <c r="C74" s="109"/>
      <c r="D74" s="109"/>
      <c r="E74" s="109"/>
      <c r="F74" s="109"/>
      <c r="G74" s="109"/>
      <c r="I74" s="134"/>
      <c r="J74" s="134"/>
      <c r="K74" s="134"/>
      <c r="L74" s="134"/>
      <c r="M74" s="134"/>
      <c r="N74" s="134"/>
      <c r="O74" s="134"/>
      <c r="P74" s="134"/>
    </row>
    <row r="75" spans="1:20" ht="33">
      <c r="B75" s="109" t="s">
        <v>210</v>
      </c>
      <c r="C75" s="109"/>
      <c r="D75" s="109"/>
      <c r="E75" s="109"/>
      <c r="F75" s="109"/>
      <c r="G75" s="109"/>
      <c r="I75" s="134"/>
      <c r="J75" s="134"/>
      <c r="K75" s="134"/>
      <c r="L75" s="134"/>
      <c r="M75" s="134"/>
      <c r="N75" s="134"/>
      <c r="O75" s="134"/>
      <c r="P75" s="134"/>
    </row>
    <row r="76" spans="1:20" ht="33" customHeight="1">
      <c r="B76" s="103" t="s">
        <v>230</v>
      </c>
      <c r="I76" s="134"/>
      <c r="J76" s="134"/>
      <c r="K76" s="134"/>
      <c r="L76" s="134"/>
      <c r="M76" s="134"/>
      <c r="N76" s="134"/>
      <c r="O76" s="134"/>
      <c r="P76" s="134"/>
    </row>
    <row r="77" spans="1:20" ht="18.75" customHeight="1">
      <c r="I77" s="128"/>
      <c r="J77" s="129"/>
      <c r="K77" s="129"/>
      <c r="L77" s="129"/>
      <c r="M77" s="129"/>
      <c r="N77" s="129"/>
      <c r="O77" s="129"/>
    </row>
    <row r="78" spans="1:20" ht="25.5" customHeight="1">
      <c r="F78" s="164" t="s">
        <v>195</v>
      </c>
      <c r="G78" s="164"/>
      <c r="H78" s="164"/>
      <c r="I78" s="164"/>
      <c r="J78" s="164"/>
      <c r="K78" s="164"/>
      <c r="L78" s="129"/>
      <c r="M78" s="129"/>
      <c r="N78" s="129"/>
      <c r="O78" s="129"/>
    </row>
    <row r="79" spans="1:20" ht="18.75" customHeight="1">
      <c r="I79" s="92"/>
      <c r="J79" s="92"/>
      <c r="K79" s="92"/>
      <c r="L79" s="92"/>
      <c r="M79" s="92"/>
      <c r="N79" s="92"/>
      <c r="O79" s="92"/>
    </row>
    <row r="80" spans="1:20" ht="18.75" customHeight="1">
      <c r="I80" s="92"/>
      <c r="J80" s="92"/>
      <c r="K80" s="92"/>
      <c r="L80" s="92"/>
      <c r="M80" s="92"/>
      <c r="N80" s="92"/>
      <c r="O80" s="92"/>
    </row>
    <row r="81" spans="9:15" ht="18.75" customHeight="1">
      <c r="I81" s="92"/>
      <c r="J81" s="92"/>
      <c r="K81" s="92"/>
      <c r="L81" s="92"/>
      <c r="M81" s="92"/>
      <c r="N81" s="92"/>
      <c r="O81" s="92"/>
    </row>
    <row r="82" spans="9:15" ht="18.75" customHeight="1">
      <c r="I82" s="92"/>
      <c r="J82" s="92"/>
      <c r="K82" s="92"/>
      <c r="L82" s="92"/>
      <c r="M82" s="92"/>
      <c r="N82" s="92"/>
      <c r="O82" s="92"/>
    </row>
    <row r="83" spans="9:15" ht="18.75" customHeight="1">
      <c r="I83" s="92"/>
      <c r="J83" s="100"/>
      <c r="K83" s="100"/>
      <c r="L83" s="100"/>
      <c r="M83" s="100"/>
      <c r="N83" s="100"/>
      <c r="O83" s="100"/>
    </row>
    <row r="84" spans="9:15" ht="18.75" customHeight="1">
      <c r="I84" s="100"/>
      <c r="J84" s="100"/>
      <c r="K84" s="100"/>
      <c r="L84" s="100"/>
      <c r="M84" s="100"/>
      <c r="N84" s="100"/>
      <c r="O84" s="100"/>
    </row>
    <row r="85" spans="9:15">
      <c r="I85" s="154"/>
      <c r="J85" s="155"/>
      <c r="K85" s="155"/>
      <c r="L85" s="155"/>
      <c r="M85" s="155"/>
      <c r="N85" s="155"/>
      <c r="O85" s="155"/>
    </row>
    <row r="86" spans="9:15">
      <c r="I86" s="155"/>
      <c r="J86" s="155"/>
      <c r="K86" s="155"/>
      <c r="L86" s="155"/>
      <c r="M86" s="155"/>
      <c r="N86" s="155"/>
      <c r="O86" s="155"/>
    </row>
  </sheetData>
  <sheetProtection algorithmName="SHA-512" hashValue="bPp0xaEjR8ET05IAmsnoPG8OJ84x3DCeVNYzIxYa9gzc55UZWDQALh/Z5DGh4vHTBGC1ZQPSJRLwrzlRy3zeow==" saltValue="FjDmgJQhimab8wZQY89ZFQ==" spinCount="100000" sheet="1" objects="1" scenarios="1"/>
  <mergeCells count="153">
    <mergeCell ref="T62:T63"/>
    <mergeCell ref="F78:K78"/>
    <mergeCell ref="A62:B63"/>
    <mergeCell ref="A52:C52"/>
    <mergeCell ref="I52:K52"/>
    <mergeCell ref="F48:F49"/>
    <mergeCell ref="G48:G49"/>
    <mergeCell ref="H48:H49"/>
    <mergeCell ref="I48:I49"/>
    <mergeCell ref="A56:B56"/>
    <mergeCell ref="A64:B65"/>
    <mergeCell ref="F63:F65"/>
    <mergeCell ref="R62:R63"/>
    <mergeCell ref="S62:S63"/>
    <mergeCell ref="E48:E49"/>
    <mergeCell ref="J48:J49"/>
    <mergeCell ref="K48:K49"/>
    <mergeCell ref="G37:G38"/>
    <mergeCell ref="H29:H30"/>
    <mergeCell ref="F27:F28"/>
    <mergeCell ref="F35:F36"/>
    <mergeCell ref="F37:F38"/>
    <mergeCell ref="G27:G28"/>
    <mergeCell ref="M23:M24"/>
    <mergeCell ref="J23:J24"/>
    <mergeCell ref="K23:K24"/>
    <mergeCell ref="L23:L24"/>
    <mergeCell ref="I25:I26"/>
    <mergeCell ref="J25:J26"/>
    <mergeCell ref="K25:K26"/>
    <mergeCell ref="L25:L26"/>
    <mergeCell ref="M25:M26"/>
    <mergeCell ref="H31:H32"/>
    <mergeCell ref="K33:K34"/>
    <mergeCell ref="O37:O38"/>
    <mergeCell ref="H33:H34"/>
    <mergeCell ref="H35:H36"/>
    <mergeCell ref="F33:F34"/>
    <mergeCell ref="L35:L36"/>
    <mergeCell ref="H37:H38"/>
    <mergeCell ref="I37:I38"/>
    <mergeCell ref="J31:J32"/>
    <mergeCell ref="J33:J34"/>
    <mergeCell ref="J35:J36"/>
    <mergeCell ref="J37:J38"/>
    <mergeCell ref="I31:I32"/>
    <mergeCell ref="K37:K38"/>
    <mergeCell ref="L31:L32"/>
    <mergeCell ref="L33:L34"/>
    <mergeCell ref="L37:L38"/>
    <mergeCell ref="M37:M38"/>
    <mergeCell ref="N33:N34"/>
    <mergeCell ref="N35:N36"/>
    <mergeCell ref="N37:N38"/>
    <mergeCell ref="G31:G32"/>
    <mergeCell ref="M33:M34"/>
    <mergeCell ref="G33:G34"/>
    <mergeCell ref="G35:G36"/>
    <mergeCell ref="O27:O28"/>
    <mergeCell ref="O23:O24"/>
    <mergeCell ref="O25:O26"/>
    <mergeCell ref="K35:K36"/>
    <mergeCell ref="I33:I34"/>
    <mergeCell ref="I35:I36"/>
    <mergeCell ref="K31:K32"/>
    <mergeCell ref="E27:E28"/>
    <mergeCell ref="E29:E30"/>
    <mergeCell ref="K29:K30"/>
    <mergeCell ref="J27:J28"/>
    <mergeCell ref="I27:I28"/>
    <mergeCell ref="H27:H28"/>
    <mergeCell ref="G29:G30"/>
    <mergeCell ref="E31:E32"/>
    <mergeCell ref="E33:E34"/>
    <mergeCell ref="J29:J30"/>
    <mergeCell ref="I29:I30"/>
    <mergeCell ref="N25:N26"/>
    <mergeCell ref="E35:E36"/>
    <mergeCell ref="O31:O32"/>
    <mergeCell ref="O33:O34"/>
    <mergeCell ref="O35:O36"/>
    <mergeCell ref="N29:N30"/>
    <mergeCell ref="N31:N32"/>
    <mergeCell ref="M29:M30"/>
    <mergeCell ref="M31:M32"/>
    <mergeCell ref="M35:M36"/>
    <mergeCell ref="O29:O30"/>
    <mergeCell ref="L27:L28"/>
    <mergeCell ref="L29:L30"/>
    <mergeCell ref="D29:D30"/>
    <mergeCell ref="B1:N1"/>
    <mergeCell ref="B11:D11"/>
    <mergeCell ref="A23:B24"/>
    <mergeCell ref="A8:B9"/>
    <mergeCell ref="A27:B28"/>
    <mergeCell ref="C27:C28"/>
    <mergeCell ref="D27:D28"/>
    <mergeCell ref="D8:D9"/>
    <mergeCell ref="C23:C24"/>
    <mergeCell ref="C8:C9"/>
    <mergeCell ref="D23:D24"/>
    <mergeCell ref="A25:B26"/>
    <mergeCell ref="C25:C26"/>
    <mergeCell ref="D25:D26"/>
    <mergeCell ref="E25:E26"/>
    <mergeCell ref="F25:F26"/>
    <mergeCell ref="N27:N28"/>
    <mergeCell ref="N23:N24"/>
    <mergeCell ref="M27:M28"/>
    <mergeCell ref="G25:G26"/>
    <mergeCell ref="H25:H26"/>
    <mergeCell ref="B5:D5"/>
    <mergeCell ref="K27:K28"/>
    <mergeCell ref="E23:E24"/>
    <mergeCell ref="F23:I23"/>
    <mergeCell ref="B40:D40"/>
    <mergeCell ref="A33:B34"/>
    <mergeCell ref="A35:B36"/>
    <mergeCell ref="A37:B38"/>
    <mergeCell ref="C29:C30"/>
    <mergeCell ref="C31:C32"/>
    <mergeCell ref="C33:C34"/>
    <mergeCell ref="C35:C36"/>
    <mergeCell ref="C37:C38"/>
    <mergeCell ref="A29:B30"/>
    <mergeCell ref="A31:B32"/>
    <mergeCell ref="D33:D34"/>
    <mergeCell ref="D35:D36"/>
    <mergeCell ref="D37:D38"/>
    <mergeCell ref="E37:E38"/>
    <mergeCell ref="F29:F30"/>
    <mergeCell ref="F31:F32"/>
    <mergeCell ref="D31:D32"/>
    <mergeCell ref="I85:O86"/>
    <mergeCell ref="A60:B60"/>
    <mergeCell ref="A61:B61"/>
    <mergeCell ref="A58:B58"/>
    <mergeCell ref="A59:B59"/>
    <mergeCell ref="A66:B66"/>
    <mergeCell ref="L46:L47"/>
    <mergeCell ref="L48:L49"/>
    <mergeCell ref="E52:F52"/>
    <mergeCell ref="B51:D51"/>
    <mergeCell ref="D46:D47"/>
    <mergeCell ref="E46:E47"/>
    <mergeCell ref="F46:I46"/>
    <mergeCell ref="A55:B55"/>
    <mergeCell ref="J46:J47"/>
    <mergeCell ref="K46:K47"/>
    <mergeCell ref="A57:B57"/>
    <mergeCell ref="A54:B54"/>
    <mergeCell ref="D48:D49"/>
    <mergeCell ref="A46:C49"/>
  </mergeCells>
  <phoneticPr fontId="2"/>
  <dataValidations count="2">
    <dataValidation type="list" allowBlank="1" showInputMessage="1" showErrorMessage="1" sqref="C8:C9" xr:uid="{00000000-0002-0000-0000-000000000000}">
      <formula1>"4,5,6,7,8,9,10,11,12,1,2,3"</formula1>
    </dataValidation>
    <dataValidation type="list" allowBlank="1" showInputMessage="1" showErrorMessage="1" sqref="O25 O27 O29 O31 O33 O35 O37" xr:uid="{00000000-0002-0000-0000-000001000000}">
      <formula1>"有"</formula1>
    </dataValidation>
  </dataValidations>
  <pageMargins left="0.31496062992125984" right="0.31496062992125984" top="0.15748031496062992" bottom="0.15748031496062992" header="0.31496062992125984" footer="0.31496062992125984"/>
  <pageSetup paperSize="9" scale="32"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U17"/>
  <sheetViews>
    <sheetView workbookViewId="0"/>
  </sheetViews>
  <sheetFormatPr defaultRowHeight="20.100000000000001" customHeight="1"/>
  <cols>
    <col min="1" max="8" width="5.625" customWidth="1"/>
    <col min="9" max="9" width="10.625" customWidth="1"/>
    <col min="10" max="13" width="5.625" customWidth="1"/>
    <col min="14" max="14" width="10.625" customWidth="1"/>
    <col min="15" max="18" width="5.625" customWidth="1"/>
    <col min="19" max="19" width="10.625" customWidth="1"/>
    <col min="20" max="23" width="5.625" customWidth="1"/>
    <col min="24" max="24" width="10.625" customWidth="1"/>
    <col min="25" max="28" width="5.625" customWidth="1"/>
    <col min="29" max="29" width="10.625" customWidth="1"/>
    <col min="30" max="33" width="5.625" customWidth="1"/>
    <col min="34" max="34" width="10.625" customWidth="1"/>
    <col min="35" max="38" width="5.625" customWidth="1"/>
    <col min="39" max="39" width="10.625" customWidth="1"/>
    <col min="40" max="43" width="5.625" customWidth="1"/>
    <col min="44" max="44" width="9.25" bestFit="1" customWidth="1"/>
  </cols>
  <sheetData>
    <row r="1" spans="1:47" ht="20.100000000000001" customHeight="1" thickBot="1">
      <c r="A1" s="2" t="s">
        <v>23</v>
      </c>
    </row>
    <row r="2" spans="1:47" ht="20.100000000000001" customHeight="1" thickBot="1">
      <c r="B2" s="3"/>
      <c r="C2" s="3"/>
      <c r="D2" s="4"/>
      <c r="E2" s="4"/>
      <c r="F2" s="4"/>
      <c r="G2" s="2"/>
      <c r="H2" s="227" t="s">
        <v>33</v>
      </c>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9"/>
    </row>
    <row r="3" spans="1:47" ht="20.100000000000001" customHeight="1">
      <c r="A3" s="4" t="s">
        <v>24</v>
      </c>
      <c r="B3" s="4"/>
      <c r="C3" s="4"/>
      <c r="D3" s="4"/>
      <c r="E3" s="4"/>
      <c r="F3" s="4"/>
      <c r="G3" s="4"/>
      <c r="H3" s="29" t="s">
        <v>41</v>
      </c>
      <c r="I3" s="22" t="s">
        <v>34</v>
      </c>
      <c r="J3" s="4"/>
      <c r="K3" s="4"/>
      <c r="L3" s="15"/>
      <c r="M3" s="21" t="s">
        <v>42</v>
      </c>
      <c r="N3" s="22" t="s">
        <v>35</v>
      </c>
      <c r="O3" s="15"/>
      <c r="P3" s="15"/>
      <c r="Q3" s="15"/>
      <c r="R3" s="21" t="s">
        <v>43</v>
      </c>
      <c r="S3" s="22" t="s">
        <v>36</v>
      </c>
      <c r="T3" s="15"/>
      <c r="W3" s="21" t="s">
        <v>44</v>
      </c>
      <c r="X3" s="22" t="s">
        <v>37</v>
      </c>
      <c r="Y3" s="15"/>
      <c r="Z3" s="15"/>
      <c r="AA3" s="15"/>
      <c r="AB3" s="21" t="s">
        <v>45</v>
      </c>
      <c r="AC3" s="22" t="s">
        <v>38</v>
      </c>
      <c r="AD3" s="15"/>
      <c r="AG3" s="21" t="s">
        <v>46</v>
      </c>
      <c r="AH3" s="22" t="s">
        <v>39</v>
      </c>
      <c r="AI3" s="15"/>
      <c r="AL3" s="21" t="s">
        <v>47</v>
      </c>
      <c r="AM3" s="22" t="s">
        <v>40</v>
      </c>
      <c r="AQ3" s="36" t="s">
        <v>72</v>
      </c>
      <c r="AR3" s="28" t="s">
        <v>74</v>
      </c>
    </row>
    <row r="4" spans="1:47" ht="20.100000000000001" customHeight="1">
      <c r="A4" s="225">
        <v>1</v>
      </c>
      <c r="B4" s="226"/>
      <c r="C4" s="226"/>
      <c r="D4" s="5" t="s">
        <v>25</v>
      </c>
      <c r="E4" s="226">
        <v>550999</v>
      </c>
      <c r="F4" s="226"/>
      <c r="G4" s="226"/>
      <c r="H4" s="24" t="str">
        <f t="shared" ref="H4:H14" si="0">IF(L4=2,"●","")</f>
        <v/>
      </c>
      <c r="I4" s="18">
        <f>IF(L4=2,0,0)</f>
        <v>0</v>
      </c>
      <c r="J4" s="17">
        <f>IF(試算シミュレーション!$D$25&gt;=A4,1,0)</f>
        <v>0</v>
      </c>
      <c r="K4" s="17">
        <f>IF(試算シミュレーション!$D$25&lt;=E4,1,0)</f>
        <v>1</v>
      </c>
      <c r="L4" s="17">
        <f t="shared" ref="L4:L14" si="1">J4+K4</f>
        <v>1</v>
      </c>
      <c r="M4" s="7" t="str">
        <f t="shared" ref="M4:M14" si="2">IF(Q4=2,"●","")</f>
        <v/>
      </c>
      <c r="N4" s="18">
        <f>IF(Q4=2,0,0)</f>
        <v>0</v>
      </c>
      <c r="O4" s="17">
        <f>IF(試算シミュレーション!$D$27&gt;=A4,1,0)</f>
        <v>0</v>
      </c>
      <c r="P4" s="17">
        <f>IF(試算シミュレーション!$D$27&lt;=E4,1,0)</f>
        <v>1</v>
      </c>
      <c r="Q4" s="17">
        <f t="shared" ref="Q4:Q14" si="3">O4+P4</f>
        <v>1</v>
      </c>
      <c r="R4" s="6" t="str">
        <f t="shared" ref="R4:R14" si="4">IF(V4=2,"●","")</f>
        <v/>
      </c>
      <c r="S4" s="18">
        <f>IF(V4=2,0,0)</f>
        <v>0</v>
      </c>
      <c r="T4" s="17">
        <f>IF(試算シミュレーション!$D$29&gt;=A4,1,0)</f>
        <v>0</v>
      </c>
      <c r="U4" s="17">
        <f>IF(試算シミュレーション!$D$29&lt;=E4,1,0)</f>
        <v>1</v>
      </c>
      <c r="V4" s="17">
        <f t="shared" ref="V4:V14" si="5">T4+U4</f>
        <v>1</v>
      </c>
      <c r="W4" s="24" t="str">
        <f t="shared" ref="W4:W14" si="6">IF(AA4=2,"●","")</f>
        <v/>
      </c>
      <c r="X4" s="20">
        <f>IF(AA4=2,0,0)</f>
        <v>0</v>
      </c>
      <c r="Y4" s="17">
        <f>IF(試算シミュレーション!$D$31&gt;=A4,1,0)</f>
        <v>0</v>
      </c>
      <c r="Z4" s="17">
        <f>IF(試算シミュレーション!$D$31&lt;=E4,1,0)</f>
        <v>1</v>
      </c>
      <c r="AA4" s="17">
        <f t="shared" ref="AA4:AA14" si="7">Y4+Z4</f>
        <v>1</v>
      </c>
      <c r="AB4" s="23" t="str">
        <f t="shared" ref="AB4:AB14" si="8">IF(AF4=2,"●","")</f>
        <v/>
      </c>
      <c r="AC4" s="20">
        <f>IF(AF4=2,0,0)</f>
        <v>0</v>
      </c>
      <c r="AD4" s="17">
        <f>IF(試算シミュレーション!$D$33&gt;=A4,1,0)</f>
        <v>0</v>
      </c>
      <c r="AE4" s="17">
        <f>IF(試算シミュレーション!$D$33&lt;=E4,1,0)</f>
        <v>1</v>
      </c>
      <c r="AF4" s="17">
        <f t="shared" ref="AF4:AF14" si="9">AD4+AE4</f>
        <v>1</v>
      </c>
      <c r="AG4" s="24" t="str">
        <f t="shared" ref="AG4:AG14" si="10">IF(AK4=2,"●","")</f>
        <v/>
      </c>
      <c r="AH4" s="18">
        <f>IF(AK4=2,0,0)</f>
        <v>0</v>
      </c>
      <c r="AI4" s="17">
        <f>IF(試算シミュレーション!$D$35&gt;=A4,1,0)</f>
        <v>0</v>
      </c>
      <c r="AJ4" s="17">
        <f>IF(試算シミュレーション!$D$35&lt;=E4,1,0)</f>
        <v>1</v>
      </c>
      <c r="AK4" s="17">
        <f t="shared" ref="AK4:AK14" si="11">AI4+AJ4</f>
        <v>1</v>
      </c>
      <c r="AL4" s="24" t="str">
        <f t="shared" ref="AL4:AL14" si="12">IF(AP4=2,"●","")</f>
        <v/>
      </c>
      <c r="AM4" s="18">
        <f>IF(AP4=2,0,0)</f>
        <v>0</v>
      </c>
      <c r="AN4" s="17">
        <f>IF(試算シミュレーション!$D$37&gt;=A4,1,0)</f>
        <v>0</v>
      </c>
      <c r="AO4" s="17">
        <f>IF(試算シミュレーション!$D$37&lt;=E4,1,0)</f>
        <v>1</v>
      </c>
      <c r="AP4" s="17">
        <f t="shared" ref="AP4:AP14" si="13">AN4+AO4</f>
        <v>1</v>
      </c>
      <c r="AQ4" s="24" t="str">
        <f t="shared" ref="AQ4:AQ14" si="14">IF(AU4=2,"●","")</f>
        <v/>
      </c>
      <c r="AR4" s="18">
        <f>IF(AU4=2,0,0)</f>
        <v>0</v>
      </c>
      <c r="AS4" s="17">
        <f>IF(試算シミュレーション!$D$48&gt;=A4,1,0)</f>
        <v>0</v>
      </c>
      <c r="AT4" s="17">
        <f>IF(試算シミュレーション!$D$48&lt;=E4,1,0)</f>
        <v>1</v>
      </c>
      <c r="AU4" s="17">
        <f t="shared" ref="AU4:AU14" si="15">AS4+AT4</f>
        <v>1</v>
      </c>
    </row>
    <row r="5" spans="1:47" ht="20.100000000000001" customHeight="1">
      <c r="A5" s="225">
        <v>551000</v>
      </c>
      <c r="B5" s="226"/>
      <c r="C5" s="226"/>
      <c r="D5" s="5" t="s">
        <v>25</v>
      </c>
      <c r="E5" s="226">
        <v>1618999</v>
      </c>
      <c r="F5" s="226"/>
      <c r="G5" s="226"/>
      <c r="H5" s="24" t="str">
        <f t="shared" si="0"/>
        <v/>
      </c>
      <c r="I5" s="18">
        <f>IF(L5=2,試算シミュレーション!D25-550000,0)</f>
        <v>0</v>
      </c>
      <c r="J5" s="17">
        <f>IF(試算シミュレーション!$D$25&gt;=A5,1,0)</f>
        <v>0</v>
      </c>
      <c r="K5" s="17">
        <f>IF(試算シミュレーション!$D$25&lt;=E5,1,0)</f>
        <v>1</v>
      </c>
      <c r="L5" s="17">
        <f t="shared" si="1"/>
        <v>1</v>
      </c>
      <c r="M5" s="7" t="str">
        <f t="shared" si="2"/>
        <v/>
      </c>
      <c r="N5" s="18">
        <f>IF(Q5=2,試算シミュレーション!D27-550000,0)</f>
        <v>0</v>
      </c>
      <c r="O5" s="17">
        <f>IF(試算シミュレーション!$D$27&gt;=A5,1,0)</f>
        <v>0</v>
      </c>
      <c r="P5" s="17">
        <f>IF(試算シミュレーション!$D$27&lt;=E5,1,0)</f>
        <v>1</v>
      </c>
      <c r="Q5" s="17">
        <f t="shared" si="3"/>
        <v>1</v>
      </c>
      <c r="R5" s="6" t="str">
        <f t="shared" si="4"/>
        <v/>
      </c>
      <c r="S5" s="18">
        <f>IF(V5=2,試算シミュレーション!D29-550000,0)</f>
        <v>0</v>
      </c>
      <c r="T5" s="17">
        <f>IF(試算シミュレーション!$D$29&gt;=A5,1,0)</f>
        <v>0</v>
      </c>
      <c r="U5" s="17">
        <f>IF(試算シミュレーション!$D$29&lt;=E5,1,0)</f>
        <v>1</v>
      </c>
      <c r="V5" s="17">
        <f t="shared" si="5"/>
        <v>1</v>
      </c>
      <c r="W5" s="24" t="str">
        <f t="shared" si="6"/>
        <v/>
      </c>
      <c r="X5" s="20">
        <f>IF(AA5=2,試算シミュレーション!D31-550000,0)</f>
        <v>0</v>
      </c>
      <c r="Y5" s="17">
        <f>IF(試算シミュレーション!$D$31&gt;=A5,1,0)</f>
        <v>0</v>
      </c>
      <c r="Z5" s="17">
        <f>IF(試算シミュレーション!$D$31&lt;=E5,1,0)</f>
        <v>1</v>
      </c>
      <c r="AA5" s="17">
        <f t="shared" si="7"/>
        <v>1</v>
      </c>
      <c r="AB5" s="23" t="str">
        <f t="shared" si="8"/>
        <v/>
      </c>
      <c r="AC5" s="20">
        <f>IF(AF5=2,試算シミュレーション!D33-550000,0)</f>
        <v>0</v>
      </c>
      <c r="AD5" s="17">
        <f>IF(試算シミュレーション!$D$33&gt;=A5,1,0)</f>
        <v>0</v>
      </c>
      <c r="AE5" s="17">
        <f>IF(試算シミュレーション!$D$33&lt;=E5,1,0)</f>
        <v>1</v>
      </c>
      <c r="AF5" s="17">
        <f t="shared" si="9"/>
        <v>1</v>
      </c>
      <c r="AG5" s="24" t="str">
        <f t="shared" si="10"/>
        <v/>
      </c>
      <c r="AH5" s="20">
        <f>IF(AK5=2,試算シミュレーション!D35-550000,0)</f>
        <v>0</v>
      </c>
      <c r="AI5" s="17">
        <f>IF(試算シミュレーション!$D$35&gt;=A5,1,0)</f>
        <v>0</v>
      </c>
      <c r="AJ5" s="17">
        <f>IF(試算シミュレーション!$D$35&lt;=E5,1,0)</f>
        <v>1</v>
      </c>
      <c r="AK5" s="17">
        <f t="shared" si="11"/>
        <v>1</v>
      </c>
      <c r="AL5" s="24" t="str">
        <f t="shared" si="12"/>
        <v/>
      </c>
      <c r="AM5" s="20">
        <f>IF(AP5=2,試算シミュレーション!D37-550000,0)</f>
        <v>0</v>
      </c>
      <c r="AN5" s="17">
        <f>IF(試算シミュレーション!$D$37&gt;=A5,1,0)</f>
        <v>0</v>
      </c>
      <c r="AO5" s="17">
        <f>IF(試算シミュレーション!$D$37&lt;=E5,1,0)</f>
        <v>1</v>
      </c>
      <c r="AP5" s="17">
        <f t="shared" si="13"/>
        <v>1</v>
      </c>
      <c r="AQ5" s="24" t="str">
        <f t="shared" si="14"/>
        <v/>
      </c>
      <c r="AR5" s="20">
        <f>IF(AU5=2,試算シミュレーション!D48-550000,0)</f>
        <v>0</v>
      </c>
      <c r="AS5" s="17">
        <f>IF(試算シミュレーション!$D$48&gt;=A5,1,0)</f>
        <v>0</v>
      </c>
      <c r="AT5" s="17">
        <f>IF(試算シミュレーション!$D$48&lt;=E5,1,0)</f>
        <v>1</v>
      </c>
      <c r="AU5" s="17">
        <f t="shared" si="15"/>
        <v>1</v>
      </c>
    </row>
    <row r="6" spans="1:47" ht="20.100000000000001" customHeight="1">
      <c r="A6" s="225">
        <v>1619000</v>
      </c>
      <c r="B6" s="226"/>
      <c r="C6" s="226"/>
      <c r="D6" s="5" t="s">
        <v>25</v>
      </c>
      <c r="E6" s="226">
        <v>1619999</v>
      </c>
      <c r="F6" s="226"/>
      <c r="G6" s="226"/>
      <c r="H6" s="24" t="str">
        <f t="shared" si="0"/>
        <v/>
      </c>
      <c r="I6" s="20">
        <f>IF(L6=2,1069000,0)</f>
        <v>0</v>
      </c>
      <c r="J6" s="17">
        <f>IF(試算シミュレーション!$D$25&gt;=A6,1,0)</f>
        <v>0</v>
      </c>
      <c r="K6" s="17">
        <f>IF(試算シミュレーション!$D$25&lt;=E6,1,0)</f>
        <v>1</v>
      </c>
      <c r="L6" s="17">
        <f t="shared" si="1"/>
        <v>1</v>
      </c>
      <c r="M6" s="7" t="str">
        <f t="shared" si="2"/>
        <v/>
      </c>
      <c r="N6" s="18">
        <f>IF(L6=2,試算シミュレーション!D27-550000,0)</f>
        <v>0</v>
      </c>
      <c r="O6" s="17">
        <f>IF(試算シミュレーション!$D$27&gt;=A6,1,0)</f>
        <v>0</v>
      </c>
      <c r="P6" s="17">
        <f>IF(試算シミュレーション!$D$27&lt;=E6,1,0)</f>
        <v>1</v>
      </c>
      <c r="Q6" s="17">
        <f t="shared" si="3"/>
        <v>1</v>
      </c>
      <c r="R6" s="6" t="str">
        <f t="shared" si="4"/>
        <v/>
      </c>
      <c r="S6" s="18">
        <f>IF(V6=2,試算シミュレーション!D29-550000,0)</f>
        <v>0</v>
      </c>
      <c r="T6" s="17">
        <f>IF(試算シミュレーション!$D$29&gt;=A6,1,0)</f>
        <v>0</v>
      </c>
      <c r="U6" s="17">
        <f>IF(試算シミュレーション!$D$29&lt;=E6,1,0)</f>
        <v>1</v>
      </c>
      <c r="V6" s="17">
        <f t="shared" si="5"/>
        <v>1</v>
      </c>
      <c r="W6" s="24" t="str">
        <f t="shared" si="6"/>
        <v/>
      </c>
      <c r="X6" s="20">
        <f>IF(AA6=2,試算シミュレーション!D31-550000,0)</f>
        <v>0</v>
      </c>
      <c r="Y6" s="17">
        <f>IF(試算シミュレーション!$D$31&gt;=A6,1,0)</f>
        <v>0</v>
      </c>
      <c r="Z6" s="17">
        <f>IF(試算シミュレーション!$D$31&lt;=E6,1,0)</f>
        <v>1</v>
      </c>
      <c r="AA6" s="17">
        <f t="shared" si="7"/>
        <v>1</v>
      </c>
      <c r="AB6" s="23" t="str">
        <f t="shared" si="8"/>
        <v/>
      </c>
      <c r="AC6" s="20">
        <f>IF(AF6=2,試算シミュレーション!D33-550000,0)</f>
        <v>0</v>
      </c>
      <c r="AD6" s="17">
        <f>IF(試算シミュレーション!$D$33&gt;=A6,1,0)</f>
        <v>0</v>
      </c>
      <c r="AE6" s="17">
        <f>IF(試算シミュレーション!$D$33&lt;=E6,1,0)</f>
        <v>1</v>
      </c>
      <c r="AF6" s="17">
        <f t="shared" si="9"/>
        <v>1</v>
      </c>
      <c r="AG6" s="24" t="str">
        <f t="shared" si="10"/>
        <v/>
      </c>
      <c r="AH6" s="20">
        <f>IF(AK6=2,試算シミュレーション!D35-550000,0)</f>
        <v>0</v>
      </c>
      <c r="AI6" s="17">
        <f>IF(試算シミュレーション!$D$35&gt;=A6,1,0)</f>
        <v>0</v>
      </c>
      <c r="AJ6" s="17">
        <f>IF(試算シミュレーション!$D$35&lt;=E6,1,0)</f>
        <v>1</v>
      </c>
      <c r="AK6" s="17">
        <f t="shared" si="11"/>
        <v>1</v>
      </c>
      <c r="AL6" s="24" t="str">
        <f t="shared" si="12"/>
        <v/>
      </c>
      <c r="AM6" s="20">
        <f>IF(AP6=2,試算シミュレーション!D37-550000,0)</f>
        <v>0</v>
      </c>
      <c r="AN6" s="17">
        <f>IF(試算シミュレーション!$D$37&gt;=A6,1,0)</f>
        <v>0</v>
      </c>
      <c r="AO6" s="17">
        <f>IF(試算シミュレーション!$D$37&lt;=E6,1,0)</f>
        <v>1</v>
      </c>
      <c r="AP6" s="17">
        <f t="shared" si="13"/>
        <v>1</v>
      </c>
      <c r="AQ6" s="24" t="str">
        <f t="shared" si="14"/>
        <v/>
      </c>
      <c r="AR6" s="20">
        <f>IF(AU6=2,試算シミュレーション!D48-550000,0)</f>
        <v>0</v>
      </c>
      <c r="AS6" s="17">
        <f>IF(試算シミュレーション!$D$48&gt;=A6,1,0)</f>
        <v>0</v>
      </c>
      <c r="AT6" s="17">
        <f>IF(試算シミュレーション!$D$48&lt;=E6,1,0)</f>
        <v>1</v>
      </c>
      <c r="AU6" s="17">
        <f t="shared" si="15"/>
        <v>1</v>
      </c>
    </row>
    <row r="7" spans="1:47" ht="20.100000000000001" customHeight="1">
      <c r="A7" s="225">
        <v>1620000</v>
      </c>
      <c r="B7" s="226"/>
      <c r="C7" s="226"/>
      <c r="D7" s="5" t="s">
        <v>25</v>
      </c>
      <c r="E7" s="226">
        <v>1621999</v>
      </c>
      <c r="F7" s="226"/>
      <c r="G7" s="226"/>
      <c r="H7" s="24" t="str">
        <f t="shared" si="0"/>
        <v/>
      </c>
      <c r="I7" s="18">
        <f>IF(L7=2,1070000,0)</f>
        <v>0</v>
      </c>
      <c r="J7" s="17">
        <f>IF(試算シミュレーション!$D$25&gt;=A7,1,0)</f>
        <v>0</v>
      </c>
      <c r="K7" s="17">
        <f>IF(試算シミュレーション!$D$25&lt;=E7,1,0)</f>
        <v>1</v>
      </c>
      <c r="L7" s="17">
        <f t="shared" si="1"/>
        <v>1</v>
      </c>
      <c r="M7" s="7" t="str">
        <f t="shared" si="2"/>
        <v/>
      </c>
      <c r="N7" s="18">
        <f>IF(Q7=2,1070000,0)</f>
        <v>0</v>
      </c>
      <c r="O7" s="17">
        <f>IF(試算シミュレーション!$D$27&gt;=A7,1,0)</f>
        <v>0</v>
      </c>
      <c r="P7" s="17">
        <f>IF(試算シミュレーション!$D$27&lt;=E7,1,0)</f>
        <v>1</v>
      </c>
      <c r="Q7" s="17">
        <f t="shared" si="3"/>
        <v>1</v>
      </c>
      <c r="R7" s="6" t="str">
        <f t="shared" si="4"/>
        <v/>
      </c>
      <c r="S7" s="18">
        <f>IF(V7=2,1070000,0)</f>
        <v>0</v>
      </c>
      <c r="T7" s="17">
        <f>IF(試算シミュレーション!$D$29&gt;=A7,1,0)</f>
        <v>0</v>
      </c>
      <c r="U7" s="17">
        <f>IF(試算シミュレーション!$D$29&lt;=E7,1,0)</f>
        <v>1</v>
      </c>
      <c r="V7" s="17">
        <f t="shared" si="5"/>
        <v>1</v>
      </c>
      <c r="W7" s="24" t="str">
        <f t="shared" si="6"/>
        <v/>
      </c>
      <c r="X7" s="20">
        <f>IF(AA7=2,1070000,0)</f>
        <v>0</v>
      </c>
      <c r="Y7" s="17">
        <f>IF(試算シミュレーション!$D$31&gt;=A7,1,0)</f>
        <v>0</v>
      </c>
      <c r="Z7" s="17">
        <f>IF(試算シミュレーション!$D$31&lt;=E7,1,0)</f>
        <v>1</v>
      </c>
      <c r="AA7" s="17">
        <f t="shared" si="7"/>
        <v>1</v>
      </c>
      <c r="AB7" s="23" t="str">
        <f t="shared" si="8"/>
        <v/>
      </c>
      <c r="AC7" s="20">
        <f>IF(AF7=2,1070000,0)</f>
        <v>0</v>
      </c>
      <c r="AD7" s="17">
        <f>IF(試算シミュレーション!$D$33&gt;=A7,1,0)</f>
        <v>0</v>
      </c>
      <c r="AE7" s="17">
        <f>IF(試算シミュレーション!$D$33&lt;=E7,1,0)</f>
        <v>1</v>
      </c>
      <c r="AF7" s="17">
        <f t="shared" si="9"/>
        <v>1</v>
      </c>
      <c r="AG7" s="24" t="str">
        <f t="shared" si="10"/>
        <v/>
      </c>
      <c r="AH7" s="20">
        <f>IF(AK7=2,1070000,0)</f>
        <v>0</v>
      </c>
      <c r="AI7" s="17">
        <f>IF(試算シミュレーション!$D$35&gt;=A7,1,0)</f>
        <v>0</v>
      </c>
      <c r="AJ7" s="17">
        <f>IF(試算シミュレーション!$D$35&lt;=E7,1,0)</f>
        <v>1</v>
      </c>
      <c r="AK7" s="17">
        <f t="shared" si="11"/>
        <v>1</v>
      </c>
      <c r="AL7" s="24" t="str">
        <f t="shared" si="12"/>
        <v/>
      </c>
      <c r="AM7" s="20">
        <f>IF(AP7=2,1070000,0)</f>
        <v>0</v>
      </c>
      <c r="AN7" s="17">
        <f>IF(試算シミュレーション!$D$37&gt;=A7,1,0)</f>
        <v>0</v>
      </c>
      <c r="AO7" s="17">
        <f>IF(試算シミュレーション!$D$37&lt;=E7,1,0)</f>
        <v>1</v>
      </c>
      <c r="AP7" s="17">
        <f t="shared" si="13"/>
        <v>1</v>
      </c>
      <c r="AQ7" s="24" t="str">
        <f t="shared" si="14"/>
        <v/>
      </c>
      <c r="AR7" s="20">
        <f>IF(AU7=2,1070000,0)</f>
        <v>0</v>
      </c>
      <c r="AS7" s="17">
        <f>IF(試算シミュレーション!$D$48&gt;=A7,1,0)</f>
        <v>0</v>
      </c>
      <c r="AT7" s="17">
        <f>IF(試算シミュレーション!$D$48&lt;=E7,1,0)</f>
        <v>1</v>
      </c>
      <c r="AU7" s="17">
        <f t="shared" si="15"/>
        <v>1</v>
      </c>
    </row>
    <row r="8" spans="1:47" ht="20.100000000000001" customHeight="1">
      <c r="A8" s="225">
        <v>1622000</v>
      </c>
      <c r="B8" s="226"/>
      <c r="C8" s="226"/>
      <c r="D8" s="5" t="s">
        <v>25</v>
      </c>
      <c r="E8" s="226">
        <v>1623999</v>
      </c>
      <c r="F8" s="226"/>
      <c r="G8" s="226"/>
      <c r="H8" s="24" t="str">
        <f t="shared" si="0"/>
        <v/>
      </c>
      <c r="I8" s="18">
        <f>IF(L8=2,1072000,0)</f>
        <v>0</v>
      </c>
      <c r="J8" s="17">
        <f>IF(試算シミュレーション!$D$25&gt;=A8,1,0)</f>
        <v>0</v>
      </c>
      <c r="K8" s="17">
        <f>IF(試算シミュレーション!$D$25&lt;=E8,1,0)</f>
        <v>1</v>
      </c>
      <c r="L8" s="17">
        <f t="shared" si="1"/>
        <v>1</v>
      </c>
      <c r="M8" s="7" t="str">
        <f t="shared" si="2"/>
        <v/>
      </c>
      <c r="N8" s="18">
        <f>IF(Q8=2,1072000,0)</f>
        <v>0</v>
      </c>
      <c r="O8" s="17">
        <f>IF(試算シミュレーション!$D$27&gt;=A8,1,0)</f>
        <v>0</v>
      </c>
      <c r="P8" s="17">
        <f>IF(試算シミュレーション!$D$27&lt;=E8,1,0)</f>
        <v>1</v>
      </c>
      <c r="Q8" s="17">
        <f t="shared" si="3"/>
        <v>1</v>
      </c>
      <c r="R8" s="6" t="str">
        <f t="shared" si="4"/>
        <v/>
      </c>
      <c r="S8" s="18">
        <f>IF(V8=2,1072000,0)</f>
        <v>0</v>
      </c>
      <c r="T8" s="17">
        <f>IF(試算シミュレーション!$D$29&gt;=A8,1,0)</f>
        <v>0</v>
      </c>
      <c r="U8" s="17">
        <f>IF(試算シミュレーション!$D$29&lt;=E8,1,0)</f>
        <v>1</v>
      </c>
      <c r="V8" s="17">
        <f t="shared" si="5"/>
        <v>1</v>
      </c>
      <c r="W8" s="24" t="str">
        <f t="shared" si="6"/>
        <v/>
      </c>
      <c r="X8" s="20">
        <f>IF(AA8=2,1072000,0)</f>
        <v>0</v>
      </c>
      <c r="Y8" s="17">
        <f>IF(試算シミュレーション!$D$31&gt;=A8,1,0)</f>
        <v>0</v>
      </c>
      <c r="Z8" s="17">
        <f>IF(試算シミュレーション!$D$31&lt;=E8,1,0)</f>
        <v>1</v>
      </c>
      <c r="AA8" s="17">
        <f t="shared" si="7"/>
        <v>1</v>
      </c>
      <c r="AB8" s="23" t="str">
        <f t="shared" si="8"/>
        <v/>
      </c>
      <c r="AC8" s="20">
        <f>IF(AF8=2,1072000,0)</f>
        <v>0</v>
      </c>
      <c r="AD8" s="17">
        <f>IF(試算シミュレーション!$D$33&gt;=A8,1,0)</f>
        <v>0</v>
      </c>
      <c r="AE8" s="17">
        <f>IF(試算シミュレーション!$D$33&lt;=E8,1,0)</f>
        <v>1</v>
      </c>
      <c r="AF8" s="17">
        <f t="shared" si="9"/>
        <v>1</v>
      </c>
      <c r="AG8" s="24" t="str">
        <f t="shared" si="10"/>
        <v/>
      </c>
      <c r="AH8" s="20">
        <f>IF(AK8=2,1072000,0)</f>
        <v>0</v>
      </c>
      <c r="AI8" s="17">
        <f>IF(試算シミュレーション!$D$35&gt;=A8,1,0)</f>
        <v>0</v>
      </c>
      <c r="AJ8" s="17">
        <f>IF(試算シミュレーション!$D$35&lt;=E8,1,0)</f>
        <v>1</v>
      </c>
      <c r="AK8" s="17">
        <f t="shared" si="11"/>
        <v>1</v>
      </c>
      <c r="AL8" s="24" t="str">
        <f t="shared" si="12"/>
        <v/>
      </c>
      <c r="AM8" s="20">
        <f>IF(AP8=2,1072000,0)</f>
        <v>0</v>
      </c>
      <c r="AN8" s="17">
        <f>IF(試算シミュレーション!$D$37&gt;=A8,1,0)</f>
        <v>0</v>
      </c>
      <c r="AO8" s="17">
        <f>IF(試算シミュレーション!$D$37&lt;=E8,1,0)</f>
        <v>1</v>
      </c>
      <c r="AP8" s="17">
        <f t="shared" si="13"/>
        <v>1</v>
      </c>
      <c r="AQ8" s="24" t="str">
        <f t="shared" si="14"/>
        <v/>
      </c>
      <c r="AR8" s="20">
        <f>IF(AU8=2,1072000,0)</f>
        <v>0</v>
      </c>
      <c r="AS8" s="17">
        <f>IF(試算シミュレーション!$D$48&gt;=A8,1,0)</f>
        <v>0</v>
      </c>
      <c r="AT8" s="17">
        <f>IF(試算シミュレーション!$D$48&lt;=E8,1,0)</f>
        <v>1</v>
      </c>
      <c r="AU8" s="17">
        <f t="shared" si="15"/>
        <v>1</v>
      </c>
    </row>
    <row r="9" spans="1:47" ht="20.100000000000001" customHeight="1">
      <c r="A9" s="225">
        <v>1624000</v>
      </c>
      <c r="B9" s="226"/>
      <c r="C9" s="226"/>
      <c r="D9" s="5" t="s">
        <v>26</v>
      </c>
      <c r="E9" s="226">
        <v>1627999</v>
      </c>
      <c r="F9" s="226"/>
      <c r="G9" s="226"/>
      <c r="H9" s="24" t="str">
        <f t="shared" si="0"/>
        <v/>
      </c>
      <c r="I9" s="18">
        <f>IF(L9=2,1074000,0)</f>
        <v>0</v>
      </c>
      <c r="J9" s="17">
        <f>IF(試算シミュレーション!$D$25&gt;=A9,1,0)</f>
        <v>0</v>
      </c>
      <c r="K9" s="17">
        <f>IF(試算シミュレーション!$D$25&lt;=E9,1,0)</f>
        <v>1</v>
      </c>
      <c r="L9" s="17">
        <f t="shared" si="1"/>
        <v>1</v>
      </c>
      <c r="M9" s="7" t="str">
        <f t="shared" si="2"/>
        <v/>
      </c>
      <c r="N9" s="18">
        <f>IF(Q9=2,1074000,0)</f>
        <v>0</v>
      </c>
      <c r="O9" s="17">
        <f>IF(試算シミュレーション!$D$27&gt;=A9,1,0)</f>
        <v>0</v>
      </c>
      <c r="P9" s="17">
        <f>IF(試算シミュレーション!$D$27&lt;=E9,1,0)</f>
        <v>1</v>
      </c>
      <c r="Q9" s="17">
        <f t="shared" si="3"/>
        <v>1</v>
      </c>
      <c r="R9" s="6" t="str">
        <f t="shared" si="4"/>
        <v/>
      </c>
      <c r="S9" s="18">
        <f>IF(V9=2,1074000,0)</f>
        <v>0</v>
      </c>
      <c r="T9" s="17">
        <f>IF(試算シミュレーション!$D$29&gt;=A9,1,0)</f>
        <v>0</v>
      </c>
      <c r="U9" s="17">
        <f>IF(試算シミュレーション!$D$29&lt;=E9,1,0)</f>
        <v>1</v>
      </c>
      <c r="V9" s="17">
        <f t="shared" si="5"/>
        <v>1</v>
      </c>
      <c r="W9" s="24" t="str">
        <f t="shared" si="6"/>
        <v/>
      </c>
      <c r="X9" s="20">
        <f>IF(AA9=2,1074000,0)</f>
        <v>0</v>
      </c>
      <c r="Y9" s="17">
        <f>IF(試算シミュレーション!$D$31&gt;=A9,1,0)</f>
        <v>0</v>
      </c>
      <c r="Z9" s="17">
        <f>IF(試算シミュレーション!$D$31&lt;=E9,1,0)</f>
        <v>1</v>
      </c>
      <c r="AA9" s="17">
        <f t="shared" si="7"/>
        <v>1</v>
      </c>
      <c r="AB9" s="23" t="str">
        <f t="shared" si="8"/>
        <v/>
      </c>
      <c r="AC9" s="20">
        <f>IF(AF9=2,1074000,0)</f>
        <v>0</v>
      </c>
      <c r="AD9" s="17">
        <f>IF(試算シミュレーション!$D$33&gt;=A9,1,0)</f>
        <v>0</v>
      </c>
      <c r="AE9" s="17">
        <f>IF(試算シミュレーション!$D$33&lt;=E9,1,0)</f>
        <v>1</v>
      </c>
      <c r="AF9" s="17">
        <f t="shared" si="9"/>
        <v>1</v>
      </c>
      <c r="AG9" s="24" t="str">
        <f t="shared" si="10"/>
        <v/>
      </c>
      <c r="AH9" s="20">
        <f>IF(AK9=2,1074000,0)</f>
        <v>0</v>
      </c>
      <c r="AI9" s="17">
        <f>IF(試算シミュレーション!$D$35&gt;=A9,1,0)</f>
        <v>0</v>
      </c>
      <c r="AJ9" s="17">
        <f>IF(試算シミュレーション!$D$35&lt;=E9,1,0)</f>
        <v>1</v>
      </c>
      <c r="AK9" s="17">
        <f t="shared" si="11"/>
        <v>1</v>
      </c>
      <c r="AL9" s="24" t="str">
        <f t="shared" si="12"/>
        <v/>
      </c>
      <c r="AM9" s="20">
        <f>IF(AP9=2,1074000,0)</f>
        <v>0</v>
      </c>
      <c r="AN9" s="17">
        <f>IF(試算シミュレーション!$D$37&gt;=A9,1,0)</f>
        <v>0</v>
      </c>
      <c r="AO9" s="17">
        <f>IF(試算シミュレーション!$D$37&lt;=E9,1,0)</f>
        <v>1</v>
      </c>
      <c r="AP9" s="17">
        <f t="shared" si="13"/>
        <v>1</v>
      </c>
      <c r="AQ9" s="24" t="str">
        <f t="shared" si="14"/>
        <v/>
      </c>
      <c r="AR9" s="20">
        <f>IF(AU9=2,1074000,0)</f>
        <v>0</v>
      </c>
      <c r="AS9" s="17">
        <f>IF(試算シミュレーション!$D$48&gt;=A9,1,0)</f>
        <v>0</v>
      </c>
      <c r="AT9" s="17">
        <f>IF(試算シミュレーション!$D$48&lt;=E9,1,0)</f>
        <v>1</v>
      </c>
      <c r="AU9" s="17">
        <f t="shared" si="15"/>
        <v>1</v>
      </c>
    </row>
    <row r="10" spans="1:47" ht="20.100000000000001" customHeight="1">
      <c r="A10" s="225">
        <v>1628000</v>
      </c>
      <c r="B10" s="226"/>
      <c r="C10" s="226"/>
      <c r="D10" s="5" t="s">
        <v>25</v>
      </c>
      <c r="E10" s="226">
        <v>1799999</v>
      </c>
      <c r="F10" s="226"/>
      <c r="G10" s="226"/>
      <c r="H10" s="24" t="str">
        <f t="shared" si="0"/>
        <v/>
      </c>
      <c r="I10" s="18">
        <f>IF(L10=2,ROUNDDOWN(試算シミュレーション!D25/4,-3)*2.4+100000,0)</f>
        <v>0</v>
      </c>
      <c r="J10" s="17">
        <f>IF(試算シミュレーション!$D$25&gt;=A10,1,0)</f>
        <v>0</v>
      </c>
      <c r="K10" s="17">
        <f>IF(試算シミュレーション!$D$25&lt;=E10,1,0)</f>
        <v>1</v>
      </c>
      <c r="L10" s="17">
        <f t="shared" si="1"/>
        <v>1</v>
      </c>
      <c r="M10" s="7" t="str">
        <f t="shared" si="2"/>
        <v/>
      </c>
      <c r="N10" s="18">
        <f>IF(Q10=2,ROUNDDOWN(試算シミュレーション!D27/4,-3)*2.4+100000,0)</f>
        <v>0</v>
      </c>
      <c r="O10" s="17">
        <f>IF(試算シミュレーション!$D$27&gt;=A10,1,0)</f>
        <v>0</v>
      </c>
      <c r="P10" s="17">
        <f>IF(試算シミュレーション!$D$27&lt;=E10,1,0)</f>
        <v>1</v>
      </c>
      <c r="Q10" s="17">
        <f t="shared" si="3"/>
        <v>1</v>
      </c>
      <c r="R10" s="6" t="str">
        <f t="shared" si="4"/>
        <v/>
      </c>
      <c r="S10" s="18">
        <f>IF(V10=2,ROUNDDOWN(試算シミュレーション!D29/4,-3)*2.4+100000,0)</f>
        <v>0</v>
      </c>
      <c r="T10" s="17">
        <f>IF(試算シミュレーション!$D$29&gt;=A10,1,0)</f>
        <v>0</v>
      </c>
      <c r="U10" s="17">
        <f>IF(試算シミュレーション!$D$29&lt;=E10,1,0)</f>
        <v>1</v>
      </c>
      <c r="V10" s="17">
        <f t="shared" si="5"/>
        <v>1</v>
      </c>
      <c r="W10" s="24" t="str">
        <f t="shared" si="6"/>
        <v/>
      </c>
      <c r="X10" s="20">
        <f>IF(AA10=2,ROUNDDOWN(試算シミュレーション!D31/4,-3)*2.4+100000,0)</f>
        <v>0</v>
      </c>
      <c r="Y10" s="17">
        <f>IF(試算シミュレーション!$D$31&gt;=A10,1,0)</f>
        <v>0</v>
      </c>
      <c r="Z10" s="17">
        <f>IF(試算シミュレーション!$D$31&lt;=E10,1,0)</f>
        <v>1</v>
      </c>
      <c r="AA10" s="17">
        <f t="shared" si="7"/>
        <v>1</v>
      </c>
      <c r="AB10" s="23" t="str">
        <f t="shared" si="8"/>
        <v/>
      </c>
      <c r="AC10" s="20">
        <f>IF(AF10=2,ROUNDDOWN(試算シミュレーション!D33/4,-3)*2.4+100000,0)</f>
        <v>0</v>
      </c>
      <c r="AD10" s="17">
        <f>IF(試算シミュレーション!$D$33&gt;=A10,1,0)</f>
        <v>0</v>
      </c>
      <c r="AE10" s="17">
        <f>IF(試算シミュレーション!$D$33&lt;=E10,1,0)</f>
        <v>1</v>
      </c>
      <c r="AF10" s="17">
        <f t="shared" si="9"/>
        <v>1</v>
      </c>
      <c r="AG10" s="24" t="str">
        <f t="shared" si="10"/>
        <v/>
      </c>
      <c r="AH10" s="20">
        <f>IF(AK10=2,ROUNDDOWN(試算シミュレーション!D35/4,-3)*2.4+100000,0)</f>
        <v>0</v>
      </c>
      <c r="AI10" s="17">
        <f>IF(試算シミュレーション!$D$35&gt;=A10,1,0)</f>
        <v>0</v>
      </c>
      <c r="AJ10" s="17">
        <f>IF(試算シミュレーション!$D$35&lt;=E10,1,0)</f>
        <v>1</v>
      </c>
      <c r="AK10" s="17">
        <f t="shared" si="11"/>
        <v>1</v>
      </c>
      <c r="AL10" s="24" t="str">
        <f t="shared" si="12"/>
        <v/>
      </c>
      <c r="AM10" s="20">
        <f>IF(AP10=2,ROUNDDOWN(試算シミュレーション!D37/4,-3)*2.4+100000,0)</f>
        <v>0</v>
      </c>
      <c r="AN10" s="17">
        <f>IF(試算シミュレーション!$D$37&gt;=A10,1,0)</f>
        <v>0</v>
      </c>
      <c r="AO10" s="17">
        <f>IF(試算シミュレーション!$D$37&lt;=E10,1,0)</f>
        <v>1</v>
      </c>
      <c r="AP10" s="17">
        <f t="shared" si="13"/>
        <v>1</v>
      </c>
      <c r="AQ10" s="24" t="str">
        <f t="shared" si="14"/>
        <v/>
      </c>
      <c r="AR10" s="20">
        <f>IF(AU10=2,ROUNDDOWN(試算シミュレーション!D48/4,-3)*2.4+100000,0)</f>
        <v>0</v>
      </c>
      <c r="AS10" s="17">
        <f>IF(試算シミュレーション!$D$48&gt;=A10,1,0)</f>
        <v>0</v>
      </c>
      <c r="AT10" s="17">
        <f>IF(試算シミュレーション!$D$48&lt;=E10,1,0)</f>
        <v>1</v>
      </c>
      <c r="AU10" s="17">
        <f t="shared" si="15"/>
        <v>1</v>
      </c>
    </row>
    <row r="11" spans="1:47" ht="20.100000000000001" customHeight="1">
      <c r="A11" s="225">
        <v>1800000</v>
      </c>
      <c r="B11" s="226"/>
      <c r="C11" s="226"/>
      <c r="D11" s="5" t="s">
        <v>26</v>
      </c>
      <c r="E11" s="226">
        <v>3599999</v>
      </c>
      <c r="F11" s="226"/>
      <c r="G11" s="226"/>
      <c r="H11" s="24" t="str">
        <f t="shared" si="0"/>
        <v/>
      </c>
      <c r="I11" s="18">
        <f>IF(L11=2,ROUNDDOWN(試算シミュレーション!D25/4,-3)*2.8-80000,0)</f>
        <v>0</v>
      </c>
      <c r="J11" s="17">
        <f>IF(試算シミュレーション!$D$25&gt;=A11,1,0)</f>
        <v>0</v>
      </c>
      <c r="K11" s="17">
        <f>IF(試算シミュレーション!$D$25&lt;=E11,1,0)</f>
        <v>1</v>
      </c>
      <c r="L11" s="17">
        <f t="shared" si="1"/>
        <v>1</v>
      </c>
      <c r="M11" s="7" t="str">
        <f t="shared" si="2"/>
        <v/>
      </c>
      <c r="N11" s="18">
        <f>IF(Q11=2,ROUNDDOWN(試算シミュレーション!D27/4,-3)*2.8-80000,0)</f>
        <v>0</v>
      </c>
      <c r="O11" s="17">
        <f>IF(試算シミュレーション!$D$27&gt;=A11,1,0)</f>
        <v>0</v>
      </c>
      <c r="P11" s="17">
        <f>IF(試算シミュレーション!$D$27&lt;=E11,1,0)</f>
        <v>1</v>
      </c>
      <c r="Q11" s="17">
        <f t="shared" si="3"/>
        <v>1</v>
      </c>
      <c r="R11" s="7" t="str">
        <f t="shared" si="4"/>
        <v/>
      </c>
      <c r="S11" s="18">
        <f>IF(V11=2,ROUNDDOWN(試算シミュレーション!D29/4,-3)*2.8-80000,0)</f>
        <v>0</v>
      </c>
      <c r="T11" s="17">
        <f>IF(試算シミュレーション!$D$29&gt;=A11,1,0)</f>
        <v>0</v>
      </c>
      <c r="U11" s="17">
        <f>IF(試算シミュレーション!$D$29&lt;=E11,1,0)</f>
        <v>1</v>
      </c>
      <c r="V11" s="17">
        <f t="shared" si="5"/>
        <v>1</v>
      </c>
      <c r="W11" s="24" t="str">
        <f t="shared" si="6"/>
        <v/>
      </c>
      <c r="X11" s="20">
        <f>IF(AA11=2,ROUNDDOWN(試算シミュレーション!D31/4,-3)*2.8-80000,0)</f>
        <v>0</v>
      </c>
      <c r="Y11" s="17">
        <f>IF(試算シミュレーション!$D$31&gt;=A11,1,0)</f>
        <v>0</v>
      </c>
      <c r="Z11" s="17">
        <f>IF(試算シミュレーション!$D$31&lt;=E11,1,0)</f>
        <v>1</v>
      </c>
      <c r="AA11" s="17">
        <f t="shared" si="7"/>
        <v>1</v>
      </c>
      <c r="AB11" s="23" t="str">
        <f t="shared" si="8"/>
        <v/>
      </c>
      <c r="AC11" s="20">
        <f>IF(AF11=2,ROUNDDOWN(試算シミュレーション!D33/4,-3)*2.8-80000,0)</f>
        <v>0</v>
      </c>
      <c r="AD11" s="17">
        <f>IF(試算シミュレーション!$D$33&gt;=A11,1,0)</f>
        <v>0</v>
      </c>
      <c r="AE11" s="17">
        <f>IF(試算シミュレーション!$D$33&lt;=E11,1,0)</f>
        <v>1</v>
      </c>
      <c r="AF11" s="17">
        <f t="shared" si="9"/>
        <v>1</v>
      </c>
      <c r="AG11" s="24" t="str">
        <f t="shared" si="10"/>
        <v/>
      </c>
      <c r="AH11" s="20">
        <f>IF(AK11=2,ROUNDDOWN(試算シミュレーション!D35/4,-3)*2.8-80000,0)</f>
        <v>0</v>
      </c>
      <c r="AI11" s="17">
        <f>IF(試算シミュレーション!$D$35&gt;=A11,1,0)</f>
        <v>0</v>
      </c>
      <c r="AJ11" s="17">
        <f>IF(試算シミュレーション!$D$35&lt;=E11,1,0)</f>
        <v>1</v>
      </c>
      <c r="AK11" s="17">
        <f t="shared" si="11"/>
        <v>1</v>
      </c>
      <c r="AL11" s="24" t="str">
        <f t="shared" si="12"/>
        <v/>
      </c>
      <c r="AM11" s="20">
        <f>IF(AP11=2,ROUNDDOWN(試算シミュレーション!D37/4,-3)*2.8-80000,0)</f>
        <v>0</v>
      </c>
      <c r="AN11" s="17">
        <f>IF(試算シミュレーション!$D$37&gt;=A11,1,0)</f>
        <v>0</v>
      </c>
      <c r="AO11" s="17">
        <f>IF(試算シミュレーション!$D$37&lt;=E11,1,0)</f>
        <v>1</v>
      </c>
      <c r="AP11" s="17">
        <f t="shared" si="13"/>
        <v>1</v>
      </c>
      <c r="AQ11" s="24" t="str">
        <f t="shared" si="14"/>
        <v/>
      </c>
      <c r="AR11" s="20">
        <f>IF(AU11=2,ROUNDDOWN(試算シミュレーション!D48/4,-3)*2.8-80000,0)</f>
        <v>0</v>
      </c>
      <c r="AS11" s="17">
        <f>IF(試算シミュレーション!$D$48&gt;=A11,1,0)</f>
        <v>0</v>
      </c>
      <c r="AT11" s="17">
        <f>IF(試算シミュレーション!$D$48&lt;=E11,1,0)</f>
        <v>1</v>
      </c>
      <c r="AU11" s="17">
        <f t="shared" si="15"/>
        <v>1</v>
      </c>
    </row>
    <row r="12" spans="1:47" ht="20.100000000000001" customHeight="1">
      <c r="A12" s="225">
        <v>3600000</v>
      </c>
      <c r="B12" s="226"/>
      <c r="C12" s="226"/>
      <c r="D12" s="5" t="s">
        <v>25</v>
      </c>
      <c r="E12" s="226">
        <v>6599999</v>
      </c>
      <c r="F12" s="226"/>
      <c r="G12" s="226"/>
      <c r="H12" s="24" t="str">
        <f t="shared" si="0"/>
        <v/>
      </c>
      <c r="I12" s="18">
        <f>IF(L12=2,ROUNDDOWN(試算シミュレーション!D25/4,-3)*3.2-440000,0)</f>
        <v>0</v>
      </c>
      <c r="J12" s="17">
        <f>IF(試算シミュレーション!$D$25&gt;=A12,1,0)</f>
        <v>0</v>
      </c>
      <c r="K12" s="17">
        <f>IF(試算シミュレーション!$D$25&lt;=E12,1,0)</f>
        <v>1</v>
      </c>
      <c r="L12" s="17">
        <f t="shared" si="1"/>
        <v>1</v>
      </c>
      <c r="M12" s="7" t="str">
        <f t="shared" si="2"/>
        <v/>
      </c>
      <c r="N12" s="18">
        <f>IF(Q12=2,ROUNDDOWN(試算シミュレーション!D27/4,-3)*3.2-440000,0)</f>
        <v>0</v>
      </c>
      <c r="O12" s="17">
        <f>IF(試算シミュレーション!$D$27&gt;=A12,1,0)</f>
        <v>0</v>
      </c>
      <c r="P12" s="17">
        <f>IF(試算シミュレーション!$D$27&lt;=E12,1,0)</f>
        <v>1</v>
      </c>
      <c r="Q12" s="17">
        <f t="shared" si="3"/>
        <v>1</v>
      </c>
      <c r="R12" s="6" t="str">
        <f t="shared" si="4"/>
        <v/>
      </c>
      <c r="S12" s="18">
        <f>IF(V12=2,ROUNDDOWN(試算シミュレーション!D29/4,-3)*3.2-440000,0)</f>
        <v>0</v>
      </c>
      <c r="T12" s="17">
        <f>IF(試算シミュレーション!$D$29&gt;=A12,1,0)</f>
        <v>0</v>
      </c>
      <c r="U12" s="17">
        <f>IF(試算シミュレーション!$D$29&lt;=E12,1,0)</f>
        <v>1</v>
      </c>
      <c r="V12" s="17">
        <f t="shared" si="5"/>
        <v>1</v>
      </c>
      <c r="W12" s="24" t="str">
        <f t="shared" si="6"/>
        <v/>
      </c>
      <c r="X12" s="20">
        <f>IF(AA12=2,ROUNDDOWN(試算シミュレーション!D31/4,-3)*3.2-440000,0)</f>
        <v>0</v>
      </c>
      <c r="Y12" s="17">
        <f>IF(試算シミュレーション!$D$31&gt;=A12,1,0)</f>
        <v>0</v>
      </c>
      <c r="Z12" s="17">
        <f>IF(試算シミュレーション!$D$31&lt;=E12,1,0)</f>
        <v>1</v>
      </c>
      <c r="AA12" s="17">
        <f t="shared" si="7"/>
        <v>1</v>
      </c>
      <c r="AB12" s="23" t="str">
        <f t="shared" si="8"/>
        <v/>
      </c>
      <c r="AC12" s="20">
        <f>IF(AF12=2,ROUNDDOWN(試算シミュレーション!D33/4,-3)*3.2-440000,0)</f>
        <v>0</v>
      </c>
      <c r="AD12" s="17">
        <f>IF(試算シミュレーション!$D$33&gt;=A12,1,0)</f>
        <v>0</v>
      </c>
      <c r="AE12" s="17">
        <f>IF(試算シミュレーション!$D$33&lt;=E12,1,0)</f>
        <v>1</v>
      </c>
      <c r="AF12" s="17">
        <f t="shared" si="9"/>
        <v>1</v>
      </c>
      <c r="AG12" s="24" t="str">
        <f t="shared" si="10"/>
        <v/>
      </c>
      <c r="AH12" s="20">
        <f>IF(AK12=2,ROUNDDOWN(試算シミュレーション!D35/4,-3)*3.2-440000,0)</f>
        <v>0</v>
      </c>
      <c r="AI12" s="17">
        <f>IF(試算シミュレーション!$D$35&gt;=A12,1,0)</f>
        <v>0</v>
      </c>
      <c r="AJ12" s="17">
        <f>IF(試算シミュレーション!$D$35&lt;=E12,1,0)</f>
        <v>1</v>
      </c>
      <c r="AK12" s="17">
        <f t="shared" si="11"/>
        <v>1</v>
      </c>
      <c r="AL12" s="24" t="str">
        <f t="shared" si="12"/>
        <v/>
      </c>
      <c r="AM12" s="20">
        <f>IF(AP12=2,ROUNDDOWN(試算シミュレーション!D37/4,-3)*3.2-440000,0)</f>
        <v>0</v>
      </c>
      <c r="AN12" s="17">
        <f>IF(試算シミュレーション!$D$37&gt;=A12,1,0)</f>
        <v>0</v>
      </c>
      <c r="AO12" s="17">
        <f>IF(試算シミュレーション!$D$37&lt;=E12,1,0)</f>
        <v>1</v>
      </c>
      <c r="AP12" s="17">
        <f t="shared" si="13"/>
        <v>1</v>
      </c>
      <c r="AQ12" s="24" t="str">
        <f t="shared" si="14"/>
        <v/>
      </c>
      <c r="AR12" s="20">
        <f>IF(AU12=2,ROUNDDOWN(試算シミュレーション!D48/4,-3)*3.2-440000,0)</f>
        <v>0</v>
      </c>
      <c r="AS12" s="17">
        <f>IF(試算シミュレーション!$D$48&gt;=A12,1,0)</f>
        <v>0</v>
      </c>
      <c r="AT12" s="17">
        <f>IF(試算シミュレーション!$D$48&lt;=E12,1,0)</f>
        <v>1</v>
      </c>
      <c r="AU12" s="17">
        <f t="shared" si="15"/>
        <v>1</v>
      </c>
    </row>
    <row r="13" spans="1:47" ht="20.100000000000001" customHeight="1">
      <c r="A13" s="225">
        <v>6600000</v>
      </c>
      <c r="B13" s="226"/>
      <c r="C13" s="226"/>
      <c r="D13" s="5" t="s">
        <v>26</v>
      </c>
      <c r="E13" s="226">
        <v>8499999</v>
      </c>
      <c r="F13" s="226"/>
      <c r="G13" s="226"/>
      <c r="H13" s="24" t="str">
        <f t="shared" si="0"/>
        <v/>
      </c>
      <c r="I13" s="18">
        <f>IF(L13=2,ROUNDDOWN(試算シミュレーション!D25*0.9-1100000,0),0)</f>
        <v>0</v>
      </c>
      <c r="J13" s="17">
        <f>IF(試算シミュレーション!$D$25&gt;=A13,1,0)</f>
        <v>0</v>
      </c>
      <c r="K13" s="17">
        <f>IF(試算シミュレーション!$D$25&lt;=E13,1,0)</f>
        <v>1</v>
      </c>
      <c r="L13" s="17">
        <f t="shared" si="1"/>
        <v>1</v>
      </c>
      <c r="M13" s="7" t="str">
        <f t="shared" si="2"/>
        <v/>
      </c>
      <c r="N13" s="18">
        <f>IF(Q13=2,ROUNDDOWN(試算シミュレーション!D27*0.9-1100000,0),0)</f>
        <v>0</v>
      </c>
      <c r="O13" s="17">
        <f>IF(試算シミュレーション!$D$27&gt;=A13,1,0)</f>
        <v>0</v>
      </c>
      <c r="P13" s="17">
        <f>IF(試算シミュレーション!$D$27&lt;=E13,1,0)</f>
        <v>1</v>
      </c>
      <c r="Q13" s="17">
        <f t="shared" si="3"/>
        <v>1</v>
      </c>
      <c r="R13" s="6" t="str">
        <f t="shared" si="4"/>
        <v/>
      </c>
      <c r="S13" s="18">
        <f>IF(V13=2,ROUNDDOWN(試算シミュレーション!D29*0.9-1100000,0),0)</f>
        <v>0</v>
      </c>
      <c r="T13" s="17">
        <f>IF(試算シミュレーション!$D$29&gt;=A13,1,0)</f>
        <v>0</v>
      </c>
      <c r="U13" s="17">
        <f>IF(試算シミュレーション!$D$29&lt;=E13,1,0)</f>
        <v>1</v>
      </c>
      <c r="V13" s="17">
        <f t="shared" si="5"/>
        <v>1</v>
      </c>
      <c r="W13" s="24" t="str">
        <f t="shared" si="6"/>
        <v/>
      </c>
      <c r="X13" s="20">
        <f>IF(AA13=2,ROUNDDOWN(試算シミュレーション!D31*0.9-1100000,0),0)</f>
        <v>0</v>
      </c>
      <c r="Y13" s="17">
        <f>IF(試算シミュレーション!$D$31&gt;=A13,1,0)</f>
        <v>0</v>
      </c>
      <c r="Z13" s="17">
        <f>IF(試算シミュレーション!$D$31&lt;=E13,1,0)</f>
        <v>1</v>
      </c>
      <c r="AA13" s="17">
        <f t="shared" si="7"/>
        <v>1</v>
      </c>
      <c r="AB13" s="23" t="str">
        <f t="shared" si="8"/>
        <v/>
      </c>
      <c r="AC13" s="20">
        <f>IF(AF13=2,ROUNDDOWN(試算シミュレーション!D33*0.9-1100000,0),0)</f>
        <v>0</v>
      </c>
      <c r="AD13" s="17">
        <f>IF(試算シミュレーション!$D$33&gt;=A13,1,0)</f>
        <v>0</v>
      </c>
      <c r="AE13" s="17">
        <f>IF(試算シミュレーション!$D$33&lt;=E13,1,0)</f>
        <v>1</v>
      </c>
      <c r="AF13" s="17">
        <f t="shared" si="9"/>
        <v>1</v>
      </c>
      <c r="AG13" s="24" t="str">
        <f t="shared" si="10"/>
        <v/>
      </c>
      <c r="AH13" s="20">
        <f>IF(AK13=2,ROUNDDOWN(試算シミュレーション!D35*0.9-1100000,0),0)</f>
        <v>0</v>
      </c>
      <c r="AI13" s="17">
        <f>IF(試算シミュレーション!$D$35&gt;=A13,1,0)</f>
        <v>0</v>
      </c>
      <c r="AJ13" s="17">
        <f>IF(試算シミュレーション!$D$35&lt;=E13,1,0)</f>
        <v>1</v>
      </c>
      <c r="AK13" s="17">
        <f t="shared" si="11"/>
        <v>1</v>
      </c>
      <c r="AL13" s="24" t="str">
        <f t="shared" si="12"/>
        <v/>
      </c>
      <c r="AM13" s="20">
        <f>IF(AP13=2,ROUNDDOWN(試算シミュレーション!D37*0.9-1100000,0),0)</f>
        <v>0</v>
      </c>
      <c r="AN13" s="17">
        <f>IF(試算シミュレーション!$D$37&gt;=A13,1,0)</f>
        <v>0</v>
      </c>
      <c r="AO13" s="17">
        <f>IF(試算シミュレーション!$D$37&lt;=E13,1,0)</f>
        <v>1</v>
      </c>
      <c r="AP13" s="17">
        <f t="shared" si="13"/>
        <v>1</v>
      </c>
      <c r="AQ13" s="24" t="str">
        <f t="shared" si="14"/>
        <v/>
      </c>
      <c r="AR13" s="20">
        <f>IF(AU13=2,ROUNDDOWN(試算シミュレーション!D48*0.9-1100000,0),0)</f>
        <v>0</v>
      </c>
      <c r="AS13" s="17">
        <f>IF(試算シミュレーション!$D$48&gt;=A13,1,0)</f>
        <v>0</v>
      </c>
      <c r="AT13" s="17">
        <f>IF(試算シミュレーション!$D$48&lt;=E13,1,0)</f>
        <v>1</v>
      </c>
      <c r="AU13" s="17">
        <f t="shared" si="15"/>
        <v>1</v>
      </c>
    </row>
    <row r="14" spans="1:47" ht="20.100000000000001" customHeight="1">
      <c r="A14" s="225">
        <v>8500000</v>
      </c>
      <c r="B14" s="226"/>
      <c r="C14" s="226"/>
      <c r="D14" s="5" t="s">
        <v>25</v>
      </c>
      <c r="E14" s="226">
        <v>50000000</v>
      </c>
      <c r="F14" s="226"/>
      <c r="G14" s="226"/>
      <c r="H14" s="24" t="str">
        <f t="shared" si="0"/>
        <v/>
      </c>
      <c r="I14" s="18">
        <f>IF(L14=2,ROUNDDOWN(試算シミュレーション!D25-1950000,0),0)</f>
        <v>0</v>
      </c>
      <c r="J14" s="17">
        <f>IF(試算シミュレーション!$D$25&gt;=A14,1,0)</f>
        <v>0</v>
      </c>
      <c r="K14" s="17">
        <f>IF(試算シミュレーション!$D$25&lt;=E14,1,0)</f>
        <v>1</v>
      </c>
      <c r="L14" s="17">
        <f t="shared" si="1"/>
        <v>1</v>
      </c>
      <c r="M14" s="7" t="str">
        <f t="shared" si="2"/>
        <v/>
      </c>
      <c r="N14" s="18">
        <f>IF(Q14=2,ROUNDDOWN(試算シミュレーション!D27-1950000,0),0)</f>
        <v>0</v>
      </c>
      <c r="O14" s="17">
        <f>IF(試算シミュレーション!$D$27&gt;=A14,1,0)</f>
        <v>0</v>
      </c>
      <c r="P14" s="17">
        <f>IF(試算シミュレーション!$D$27&lt;=E14,1,0)</f>
        <v>1</v>
      </c>
      <c r="Q14" s="17">
        <f t="shared" si="3"/>
        <v>1</v>
      </c>
      <c r="R14" s="6" t="str">
        <f t="shared" si="4"/>
        <v/>
      </c>
      <c r="S14" s="18">
        <f>IF(V14=2,ROUNDDOWN(試算シミュレーション!D29-1950000,0),0)</f>
        <v>0</v>
      </c>
      <c r="T14" s="17">
        <f>IF(試算シミュレーション!$D$29&gt;=A14,1,0)</f>
        <v>0</v>
      </c>
      <c r="U14" s="17">
        <f>IF(試算シミュレーション!$D$29&lt;=E14,1,0)</f>
        <v>1</v>
      </c>
      <c r="V14" s="17">
        <f t="shared" si="5"/>
        <v>1</v>
      </c>
      <c r="W14" s="24" t="str">
        <f t="shared" si="6"/>
        <v/>
      </c>
      <c r="X14" s="20">
        <f>IF(AA14=2,ROUNDDOWN(試算シミュレーション!D31-1950000,0),0)</f>
        <v>0</v>
      </c>
      <c r="Y14" s="17">
        <f>IF(試算シミュレーション!$D$31&gt;=A14,1,0)</f>
        <v>0</v>
      </c>
      <c r="Z14" s="17">
        <f>IF(試算シミュレーション!$D$31&lt;=E14,1,0)</f>
        <v>1</v>
      </c>
      <c r="AA14" s="17">
        <f t="shared" si="7"/>
        <v>1</v>
      </c>
      <c r="AB14" s="23" t="str">
        <f t="shared" si="8"/>
        <v/>
      </c>
      <c r="AC14" s="20">
        <f>IF(AF14=2,ROUNDDOWN(試算シミュレーション!D33-1950000,0),0)</f>
        <v>0</v>
      </c>
      <c r="AD14" s="17">
        <f>IF(試算シミュレーション!$D$33&gt;=A14,1,0)</f>
        <v>0</v>
      </c>
      <c r="AE14" s="17">
        <f>IF(試算シミュレーション!$D$33&lt;=E14,1,0)</f>
        <v>1</v>
      </c>
      <c r="AF14" s="17">
        <f t="shared" si="9"/>
        <v>1</v>
      </c>
      <c r="AG14" s="24" t="str">
        <f t="shared" si="10"/>
        <v/>
      </c>
      <c r="AH14" s="20">
        <f>IF(AK14=2,ROUNDDOWN(試算シミュレーション!D35-1950000,0),0)</f>
        <v>0</v>
      </c>
      <c r="AI14" s="17">
        <f>IF(試算シミュレーション!$D$35&gt;=A14,1,0)</f>
        <v>0</v>
      </c>
      <c r="AJ14" s="17">
        <f>IF(試算シミュレーション!$D$35&lt;=E14,1,0)</f>
        <v>1</v>
      </c>
      <c r="AK14" s="17">
        <f t="shared" si="11"/>
        <v>1</v>
      </c>
      <c r="AL14" s="24" t="str">
        <f t="shared" si="12"/>
        <v/>
      </c>
      <c r="AM14" s="20">
        <f>IF(AP14=2,ROUNDDOWN(試算シミュレーション!D37-1950000,0),0)</f>
        <v>0</v>
      </c>
      <c r="AN14" s="17">
        <f>IF(試算シミュレーション!$D$37&gt;=A14,1,0)</f>
        <v>0</v>
      </c>
      <c r="AO14" s="17">
        <f>IF(試算シミュレーション!$D$37&lt;=E14,1,0)</f>
        <v>1</v>
      </c>
      <c r="AP14" s="17">
        <f t="shared" si="13"/>
        <v>1</v>
      </c>
      <c r="AQ14" s="24" t="str">
        <f t="shared" si="14"/>
        <v/>
      </c>
      <c r="AR14" s="20">
        <f>IF(AU14=2,ROUNDDOWN(試算シミュレーション!D48-1950000,0),0)</f>
        <v>0</v>
      </c>
      <c r="AS14" s="17">
        <f>IF(試算シミュレーション!$D$48&gt;=A14,1,0)</f>
        <v>0</v>
      </c>
      <c r="AT14" s="17">
        <f>IF(試算シミュレーション!$D$48&lt;=E14,1,0)</f>
        <v>1</v>
      </c>
      <c r="AU14" s="17">
        <f t="shared" si="15"/>
        <v>1</v>
      </c>
    </row>
    <row r="15" spans="1:47" ht="20.100000000000001" customHeight="1">
      <c r="I15" s="19">
        <f>SUM(I4:I14)</f>
        <v>0</v>
      </c>
      <c r="J15" s="16"/>
      <c r="K15" s="16"/>
      <c r="L15" s="16"/>
      <c r="M15" s="16"/>
      <c r="N15" s="19">
        <f>SUM(N4:N14)</f>
        <v>0</v>
      </c>
      <c r="O15" s="16"/>
      <c r="P15" s="16"/>
      <c r="R15" s="16"/>
      <c r="S15" s="19">
        <f>SUM(S4:S14)</f>
        <v>0</v>
      </c>
      <c r="X15" s="19">
        <f>SUM(X4:X14)</f>
        <v>0</v>
      </c>
      <c r="AC15" s="19">
        <f>SUM(AC4:AC14)</f>
        <v>0</v>
      </c>
      <c r="AH15" s="19">
        <f>SUM(AH4:AH14)</f>
        <v>0</v>
      </c>
      <c r="AM15" s="19">
        <f>SUM(AM4:AM14)</f>
        <v>0</v>
      </c>
      <c r="AR15" s="19">
        <f>SUM(AR4:AR14)</f>
        <v>0</v>
      </c>
    </row>
    <row r="17" spans="9:12" ht="20.100000000000001" customHeight="1">
      <c r="I17" s="37">
        <f>IF(O17=2,1070000,0)</f>
        <v>0</v>
      </c>
      <c r="J17" s="37"/>
      <c r="K17" s="37"/>
      <c r="L17" s="37"/>
    </row>
  </sheetData>
  <mergeCells count="23">
    <mergeCell ref="H2:AP2"/>
    <mergeCell ref="E5:G5"/>
    <mergeCell ref="A5:C5"/>
    <mergeCell ref="E4:G4"/>
    <mergeCell ref="A4:C4"/>
    <mergeCell ref="A14:C14"/>
    <mergeCell ref="E14:G14"/>
    <mergeCell ref="A12:C12"/>
    <mergeCell ref="E12:G12"/>
    <mergeCell ref="A13:C13"/>
    <mergeCell ref="E13:G13"/>
    <mergeCell ref="A11:C11"/>
    <mergeCell ref="E11:G11"/>
    <mergeCell ref="A8:C8"/>
    <mergeCell ref="E8:G8"/>
    <mergeCell ref="A9:C9"/>
    <mergeCell ref="E9:G9"/>
    <mergeCell ref="A6:C6"/>
    <mergeCell ref="E6:G6"/>
    <mergeCell ref="A7:C7"/>
    <mergeCell ref="E7:G7"/>
    <mergeCell ref="A10:C10"/>
    <mergeCell ref="E10:G10"/>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S20"/>
  <sheetViews>
    <sheetView workbookViewId="0"/>
  </sheetViews>
  <sheetFormatPr defaultRowHeight="18.75"/>
  <cols>
    <col min="2" max="6" width="5.625" customWidth="1"/>
    <col min="7" max="7" width="10.625" customWidth="1"/>
    <col min="8" max="11" width="5.625" customWidth="1"/>
    <col min="12" max="12" width="10.625" customWidth="1"/>
    <col min="13" max="16" width="5.625" customWidth="1"/>
    <col min="17" max="17" width="9.25" bestFit="1" customWidth="1"/>
    <col min="18" max="21" width="5.625" customWidth="1"/>
    <col min="22" max="22" width="9.25" bestFit="1" customWidth="1"/>
    <col min="23" max="26" width="5.625" customWidth="1"/>
    <col min="27" max="27" width="9.25" bestFit="1" customWidth="1"/>
    <col min="28" max="31" width="5.625" customWidth="1"/>
    <col min="32" max="32" width="9.25" bestFit="1" customWidth="1"/>
    <col min="33" max="36" width="5.625" customWidth="1"/>
    <col min="37" max="37" width="9.25" bestFit="1" customWidth="1"/>
    <col min="38" max="41" width="5.625" customWidth="1"/>
    <col min="42" max="42" width="9.25" bestFit="1" customWidth="1"/>
    <col min="43" max="45" width="5.625" customWidth="1"/>
  </cols>
  <sheetData>
    <row r="1" spans="1:45" ht="20.100000000000001" customHeight="1" thickBot="1">
      <c r="A1" s="8"/>
      <c r="B1" s="2" t="s">
        <v>27</v>
      </c>
      <c r="C1" s="4"/>
      <c r="D1" s="4"/>
      <c r="E1" s="4"/>
      <c r="F1" s="4"/>
      <c r="G1" s="4"/>
      <c r="H1" s="4"/>
      <c r="I1" s="4"/>
      <c r="J1" s="4"/>
      <c r="K1" s="9"/>
    </row>
    <row r="2" spans="1:45" ht="20.100000000000001" customHeight="1" thickBot="1">
      <c r="A2" s="10" t="s">
        <v>29</v>
      </c>
      <c r="C2" s="3"/>
      <c r="D2" s="3"/>
      <c r="E2" s="3"/>
      <c r="F2" s="227" t="s">
        <v>30</v>
      </c>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9"/>
    </row>
    <row r="3" spans="1:45" ht="20.100000000000001" customHeight="1">
      <c r="A3" s="4" t="s">
        <v>28</v>
      </c>
      <c r="B3" s="3"/>
      <c r="D3" s="11"/>
      <c r="E3" s="11"/>
      <c r="F3" s="27" t="s">
        <v>49</v>
      </c>
      <c r="G3" s="28" t="s">
        <v>48</v>
      </c>
      <c r="K3" s="27" t="s">
        <v>50</v>
      </c>
      <c r="L3" s="28" t="s">
        <v>51</v>
      </c>
      <c r="P3" s="27" t="s">
        <v>52</v>
      </c>
      <c r="Q3" s="28" t="s">
        <v>53</v>
      </c>
      <c r="U3" s="27" t="s">
        <v>54</v>
      </c>
      <c r="V3" s="28" t="s">
        <v>55</v>
      </c>
      <c r="Z3" s="27" t="s">
        <v>56</v>
      </c>
      <c r="AA3" s="28" t="s">
        <v>57</v>
      </c>
      <c r="AE3" s="27" t="s">
        <v>58</v>
      </c>
      <c r="AF3" s="28" t="s">
        <v>59</v>
      </c>
      <c r="AJ3" s="27" t="s">
        <v>60</v>
      </c>
      <c r="AK3" s="28" t="s">
        <v>61</v>
      </c>
      <c r="AO3" s="27" t="s">
        <v>73</v>
      </c>
      <c r="AP3" s="28" t="s">
        <v>74</v>
      </c>
    </row>
    <row r="4" spans="1:45" ht="20.100000000000001" customHeight="1">
      <c r="A4" s="225">
        <v>1</v>
      </c>
      <c r="B4" s="226"/>
      <c r="C4" s="7" t="s">
        <v>26</v>
      </c>
      <c r="D4" s="226">
        <v>600000</v>
      </c>
      <c r="E4" s="226"/>
      <c r="F4" s="24" t="str">
        <f t="shared" ref="F4:F9" si="0">IF(J4=2,"●","")</f>
        <v/>
      </c>
      <c r="G4" s="25">
        <f>IF(J4=2,0,0)</f>
        <v>0</v>
      </c>
      <c r="H4" s="17">
        <f>IF(試算シミュレーション!$F$25&gt;=A4,1,0)</f>
        <v>0</v>
      </c>
      <c r="I4" s="17">
        <f>IF(試算シミュレーション!$F$25&lt;=D4,1,0)</f>
        <v>1</v>
      </c>
      <c r="J4" s="17">
        <f t="shared" ref="J4:J9" si="1">H4+I4</f>
        <v>1</v>
      </c>
      <c r="K4" s="24" t="str">
        <f t="shared" ref="K4:K9" si="2">IF(O4=2,"●","")</f>
        <v/>
      </c>
      <c r="L4" s="25">
        <f>IF(O4=2,0,0)</f>
        <v>0</v>
      </c>
      <c r="M4" s="17">
        <f>IF(試算シミュレーション!$F$27&gt;=A4,1,0)</f>
        <v>0</v>
      </c>
      <c r="N4" s="17">
        <f>IF(試算シミュレーション!$F$27&lt;=D4,1,0)</f>
        <v>1</v>
      </c>
      <c r="O4" s="17">
        <f t="shared" ref="O4:O9" si="3">M4+N4</f>
        <v>1</v>
      </c>
      <c r="P4" s="24" t="str">
        <f t="shared" ref="P4:P9" si="4">IF(T4=2,"●","")</f>
        <v/>
      </c>
      <c r="Q4" s="25">
        <f>IF(T4=2,0,0)</f>
        <v>0</v>
      </c>
      <c r="R4" s="17">
        <f>IF(試算シミュレーション!$F$29&gt;=A4,1,0)</f>
        <v>0</v>
      </c>
      <c r="S4" s="17">
        <f>IF(試算シミュレーション!$F$29&lt;=D4,1,0)</f>
        <v>1</v>
      </c>
      <c r="T4" s="17">
        <f t="shared" ref="T4:T9" si="5">R4+S4</f>
        <v>1</v>
      </c>
      <c r="U4" s="24" t="str">
        <f t="shared" ref="U4:U9" si="6">IF(Y4=2,"●","")</f>
        <v/>
      </c>
      <c r="V4" s="25">
        <f>IF(Y4=2,0,0)</f>
        <v>0</v>
      </c>
      <c r="W4" s="17">
        <f>IF(試算シミュレーション!$F$31&gt;=A4,1,0)</f>
        <v>0</v>
      </c>
      <c r="X4" s="17">
        <f>IF(試算シミュレーション!$F$31&lt;=D4,1,0)</f>
        <v>1</v>
      </c>
      <c r="Y4" s="17">
        <f t="shared" ref="Y4:Y9" si="7">W4+X4</f>
        <v>1</v>
      </c>
      <c r="Z4" s="24" t="str">
        <f t="shared" ref="Z4:Z9" si="8">IF(AD4=2,"●","")</f>
        <v/>
      </c>
      <c r="AA4" s="25">
        <f>IF(AD4=2,0,0)</f>
        <v>0</v>
      </c>
      <c r="AB4" s="17">
        <f>IF(試算シミュレーション!$F$33&gt;=A4,1,0)</f>
        <v>0</v>
      </c>
      <c r="AC4" s="17">
        <f>IF(試算シミュレーション!$F$33&lt;=D4,1,0)</f>
        <v>1</v>
      </c>
      <c r="AD4" s="17">
        <f t="shared" ref="AD4:AD9" si="9">AB4+AC4</f>
        <v>1</v>
      </c>
      <c r="AE4" s="24" t="str">
        <f t="shared" ref="AE4:AE9" si="10">IF(AI4=2,"●","")</f>
        <v/>
      </c>
      <c r="AF4" s="25">
        <f>IF(AI4=2,0,0)</f>
        <v>0</v>
      </c>
      <c r="AG4" s="17">
        <f>IF(試算シミュレーション!$F$35&gt;=A4,1,0)</f>
        <v>0</v>
      </c>
      <c r="AH4" s="17">
        <f>IF(試算シミュレーション!$F$35&lt;=D4,1,0)</f>
        <v>1</v>
      </c>
      <c r="AI4" s="17">
        <f t="shared" ref="AI4:AI9" si="11">AG4+AH4</f>
        <v>1</v>
      </c>
      <c r="AJ4" s="24" t="str">
        <f t="shared" ref="AJ4:AJ9" si="12">IF(AN4=2,"●","")</f>
        <v/>
      </c>
      <c r="AK4" s="25">
        <f>IF(AN4=2,0,0)</f>
        <v>0</v>
      </c>
      <c r="AL4" s="17">
        <f>IF(試算シミュレーション!$F$37&gt;=A4,1,0)</f>
        <v>0</v>
      </c>
      <c r="AM4" s="17">
        <f>IF(試算シミュレーション!$F$37&lt;=D4,1,0)</f>
        <v>1</v>
      </c>
      <c r="AN4" s="17">
        <f t="shared" ref="AN4:AN9" si="13">AL4+AM4</f>
        <v>1</v>
      </c>
      <c r="AO4" s="24" t="str">
        <f t="shared" ref="AO4:AO9" si="14">IF(AS4=2,"●","")</f>
        <v/>
      </c>
      <c r="AP4" s="25">
        <f>IF(AS4=2,0,0)</f>
        <v>0</v>
      </c>
      <c r="AQ4" s="17">
        <f>IF(試算シミュレーション!$F$48&gt;=A4,1,0)</f>
        <v>0</v>
      </c>
      <c r="AR4" s="17">
        <f>IF(試算シミュレーション!$F$48&lt;=D4,1,0)</f>
        <v>1</v>
      </c>
      <c r="AS4" s="17">
        <f t="shared" ref="AS4:AS9" si="15">AQ4+AR4</f>
        <v>1</v>
      </c>
    </row>
    <row r="5" spans="1:45" ht="20.100000000000001" customHeight="1">
      <c r="A5" s="225">
        <v>600001</v>
      </c>
      <c r="B5" s="226"/>
      <c r="C5" s="7" t="s">
        <v>26</v>
      </c>
      <c r="D5" s="226">
        <v>1299999</v>
      </c>
      <c r="E5" s="226"/>
      <c r="F5" s="24" t="str">
        <f t="shared" si="0"/>
        <v/>
      </c>
      <c r="G5" s="25">
        <f>IF(J5=2,試算シミュレーション!F25-600000,0)</f>
        <v>0</v>
      </c>
      <c r="H5" s="17">
        <f>IF(試算シミュレーション!$F$25&gt;=A5,1,0)</f>
        <v>0</v>
      </c>
      <c r="I5" s="17">
        <f>IF(試算シミュレーション!$F$25&lt;=D5,1,0)</f>
        <v>1</v>
      </c>
      <c r="J5" s="17">
        <f t="shared" si="1"/>
        <v>1</v>
      </c>
      <c r="K5" s="24" t="str">
        <f t="shared" si="2"/>
        <v/>
      </c>
      <c r="L5" s="25">
        <f>IF(O5=2,試算シミュレーション!F27-600000,0)</f>
        <v>0</v>
      </c>
      <c r="M5" s="17">
        <f>IF(試算シミュレーション!$F$27&gt;=A5,1,0)</f>
        <v>0</v>
      </c>
      <c r="N5" s="17">
        <f>IF(試算シミュレーション!$F$27&lt;=D5,1,0)</f>
        <v>1</v>
      </c>
      <c r="O5" s="17">
        <f t="shared" si="3"/>
        <v>1</v>
      </c>
      <c r="P5" s="24" t="str">
        <f t="shared" si="4"/>
        <v/>
      </c>
      <c r="Q5" s="25">
        <f>IF(T5=2,試算シミュレーション!F29-600000,0)</f>
        <v>0</v>
      </c>
      <c r="R5" s="17">
        <f>IF(試算シミュレーション!$F$29&gt;=A5,1,0)</f>
        <v>0</v>
      </c>
      <c r="S5" s="17">
        <f>IF(試算シミュレーション!$F$29&lt;=D5,1,0)</f>
        <v>1</v>
      </c>
      <c r="T5" s="17">
        <f t="shared" si="5"/>
        <v>1</v>
      </c>
      <c r="U5" s="24" t="str">
        <f t="shared" si="6"/>
        <v/>
      </c>
      <c r="V5" s="25">
        <f>IF(Y5=2,試算シミュレーション!F31-600000,0)</f>
        <v>0</v>
      </c>
      <c r="W5" s="17">
        <f>IF(試算シミュレーション!$F$31&gt;=A5,1,0)</f>
        <v>0</v>
      </c>
      <c r="X5" s="17">
        <f>IF(試算シミュレーション!$F$31&lt;=D5,1,0)</f>
        <v>1</v>
      </c>
      <c r="Y5" s="17">
        <f t="shared" si="7"/>
        <v>1</v>
      </c>
      <c r="Z5" s="24" t="str">
        <f t="shared" si="8"/>
        <v/>
      </c>
      <c r="AA5" s="25">
        <f>IF(AD5=2,試算シミュレーション!F33-600000,0)</f>
        <v>0</v>
      </c>
      <c r="AB5" s="17">
        <f>IF(試算シミュレーション!$F$33&gt;=A5,1,0)</f>
        <v>0</v>
      </c>
      <c r="AC5" s="17">
        <f>IF(試算シミュレーション!$F$33&lt;=D5,1,0)</f>
        <v>1</v>
      </c>
      <c r="AD5" s="17">
        <f t="shared" si="9"/>
        <v>1</v>
      </c>
      <c r="AE5" s="24" t="str">
        <f t="shared" si="10"/>
        <v/>
      </c>
      <c r="AF5" s="25">
        <f>IF(AI5=2,試算シミュレーション!F35-600000,0)</f>
        <v>0</v>
      </c>
      <c r="AG5" s="17">
        <f>IF(試算シミュレーション!$F$35&gt;=A5,1,0)</f>
        <v>0</v>
      </c>
      <c r="AH5" s="17">
        <f>IF(試算シミュレーション!$F$35&lt;=D5,1,0)</f>
        <v>1</v>
      </c>
      <c r="AI5" s="17">
        <f t="shared" si="11"/>
        <v>1</v>
      </c>
      <c r="AJ5" s="24" t="str">
        <f t="shared" si="12"/>
        <v/>
      </c>
      <c r="AK5" s="25">
        <f>IF(AN5=2,試算シミュレーション!F37-600000,0)</f>
        <v>0</v>
      </c>
      <c r="AL5" s="17">
        <f>IF(試算シミュレーション!$F$37&gt;=A5,1,0)</f>
        <v>0</v>
      </c>
      <c r="AM5" s="17">
        <f>IF(試算シミュレーション!$F$37&lt;=D5,1,0)</f>
        <v>1</v>
      </c>
      <c r="AN5" s="17">
        <f t="shared" si="13"/>
        <v>1</v>
      </c>
      <c r="AO5" s="24" t="str">
        <f t="shared" si="14"/>
        <v/>
      </c>
      <c r="AP5" s="25">
        <f>IF(AS5=2,試算シミュレーション!F48-600000,0)</f>
        <v>0</v>
      </c>
      <c r="AQ5" s="17">
        <f>IF(試算シミュレーション!$F$48&gt;=A5,1,0)</f>
        <v>0</v>
      </c>
      <c r="AR5" s="17">
        <f>IF(試算シミュレーション!$F$48&lt;=D5,1,0)</f>
        <v>1</v>
      </c>
      <c r="AS5" s="17">
        <f t="shared" si="15"/>
        <v>1</v>
      </c>
    </row>
    <row r="6" spans="1:45" ht="20.100000000000001" customHeight="1">
      <c r="A6" s="225">
        <v>1300000</v>
      </c>
      <c r="B6" s="226"/>
      <c r="C6" s="7" t="s">
        <v>25</v>
      </c>
      <c r="D6" s="226">
        <v>4099999</v>
      </c>
      <c r="E6" s="226"/>
      <c r="F6" s="24" t="str">
        <f t="shared" si="0"/>
        <v/>
      </c>
      <c r="G6" s="25">
        <f>IF(J6=2,ROUNDDOWN(試算シミュレーション!F25*0.75-275000,0),0)</f>
        <v>0</v>
      </c>
      <c r="H6" s="17">
        <f>IF(試算シミュレーション!$F$25&gt;=A6,1,0)</f>
        <v>0</v>
      </c>
      <c r="I6" s="17">
        <f>IF(試算シミュレーション!$F$25&lt;=D6,1,0)</f>
        <v>1</v>
      </c>
      <c r="J6" s="17">
        <f t="shared" si="1"/>
        <v>1</v>
      </c>
      <c r="K6" s="24" t="str">
        <f t="shared" si="2"/>
        <v/>
      </c>
      <c r="L6" s="25">
        <f>IF(O6=2,ROUNDDOWN(試算シミュレーション!F27*0.75-275000,0),0)</f>
        <v>0</v>
      </c>
      <c r="M6" s="17">
        <f>IF(試算シミュレーション!$F$27&gt;=A6,1,0)</f>
        <v>0</v>
      </c>
      <c r="N6" s="17">
        <f>IF(試算シミュレーション!$F$27&lt;=D6,1,0)</f>
        <v>1</v>
      </c>
      <c r="O6" s="17">
        <f t="shared" si="3"/>
        <v>1</v>
      </c>
      <c r="P6" s="24" t="str">
        <f t="shared" si="4"/>
        <v/>
      </c>
      <c r="Q6" s="25">
        <f>IF(T6=2,ROUNDDOWN(試算シミュレーション!F29*0.75-275000,0),0)</f>
        <v>0</v>
      </c>
      <c r="R6" s="17">
        <f>IF(試算シミュレーション!$F$29&gt;=A6,1,0)</f>
        <v>0</v>
      </c>
      <c r="S6" s="17">
        <f>IF(試算シミュレーション!$F$29&lt;=D6,1,0)</f>
        <v>1</v>
      </c>
      <c r="T6" s="17">
        <f t="shared" si="5"/>
        <v>1</v>
      </c>
      <c r="U6" s="24" t="str">
        <f t="shared" si="6"/>
        <v/>
      </c>
      <c r="V6" s="25">
        <f>IF(Y6=2,ROUNDDOWN(試算シミュレーション!F31*0.75-275000,0),0)</f>
        <v>0</v>
      </c>
      <c r="W6" s="17">
        <f>IF(試算シミュレーション!$F$31&gt;=A6,1,0)</f>
        <v>0</v>
      </c>
      <c r="X6" s="17">
        <f>IF(試算シミュレーション!$F$31&lt;=D6,1,0)</f>
        <v>1</v>
      </c>
      <c r="Y6" s="17">
        <f t="shared" si="7"/>
        <v>1</v>
      </c>
      <c r="Z6" s="24" t="str">
        <f t="shared" si="8"/>
        <v/>
      </c>
      <c r="AA6" s="25">
        <f>IF(AD6=2,ROUNDDOWN(試算シミュレーション!F33*0.75-275000,0),0)</f>
        <v>0</v>
      </c>
      <c r="AB6" s="17">
        <f>IF(試算シミュレーション!$F$33&gt;=A6,1,0)</f>
        <v>0</v>
      </c>
      <c r="AC6" s="17">
        <f>IF(試算シミュレーション!$F$33&lt;=D6,1,0)</f>
        <v>1</v>
      </c>
      <c r="AD6" s="17">
        <f t="shared" si="9"/>
        <v>1</v>
      </c>
      <c r="AE6" s="24" t="str">
        <f t="shared" si="10"/>
        <v/>
      </c>
      <c r="AF6" s="25">
        <f>IF(AI6=2,ROUNDDOWN(試算シミュレーション!F35*0.75-275000,0),0)</f>
        <v>0</v>
      </c>
      <c r="AG6" s="17">
        <f>IF(試算シミュレーション!$F$35&gt;=A6,1,0)</f>
        <v>0</v>
      </c>
      <c r="AH6" s="17">
        <f>IF(試算シミュレーション!$F$35&lt;=D6,1,0)</f>
        <v>1</v>
      </c>
      <c r="AI6" s="17">
        <f t="shared" si="11"/>
        <v>1</v>
      </c>
      <c r="AJ6" s="24" t="str">
        <f t="shared" si="12"/>
        <v/>
      </c>
      <c r="AK6" s="25">
        <f>IF(AN6=2,ROUNDDOWN(試算シミュレーション!F37*0.75-275000,0),0)</f>
        <v>0</v>
      </c>
      <c r="AL6" s="17">
        <f>IF(試算シミュレーション!$F$37&gt;=A6,1,0)</f>
        <v>0</v>
      </c>
      <c r="AM6" s="17">
        <f>IF(試算シミュレーション!$F$37&lt;=D6,1,0)</f>
        <v>1</v>
      </c>
      <c r="AN6" s="17">
        <f t="shared" si="13"/>
        <v>1</v>
      </c>
      <c r="AO6" s="24" t="str">
        <f t="shared" si="14"/>
        <v/>
      </c>
      <c r="AP6" s="25">
        <f>IF(AS6=2,ROUNDDOWN(試算シミュレーション!F48*0.75-275000,0),0)</f>
        <v>0</v>
      </c>
      <c r="AQ6" s="17">
        <f>IF(試算シミュレーション!$F$48&gt;=A6,1,0)</f>
        <v>0</v>
      </c>
      <c r="AR6" s="17">
        <f>IF(試算シミュレーション!$F$48&lt;=D6,1,0)</f>
        <v>1</v>
      </c>
      <c r="AS6" s="17">
        <f t="shared" si="15"/>
        <v>1</v>
      </c>
    </row>
    <row r="7" spans="1:45" ht="20.100000000000001" customHeight="1">
      <c r="A7" s="225">
        <v>4100000</v>
      </c>
      <c r="B7" s="226"/>
      <c r="C7" s="7" t="s">
        <v>25</v>
      </c>
      <c r="D7" s="226">
        <v>7699999</v>
      </c>
      <c r="E7" s="226"/>
      <c r="F7" s="24" t="str">
        <f t="shared" si="0"/>
        <v/>
      </c>
      <c r="G7" s="25">
        <f>IF(J7=2,ROUNDDOWN(試算シミュレーション!F25*0.85-685000,0),0)</f>
        <v>0</v>
      </c>
      <c r="H7" s="17">
        <f>IF(試算シミュレーション!$F$25&gt;=A7,1,0)</f>
        <v>0</v>
      </c>
      <c r="I7" s="17">
        <f>IF(試算シミュレーション!$F$25&lt;=D7,1,0)</f>
        <v>1</v>
      </c>
      <c r="J7" s="17">
        <f t="shared" si="1"/>
        <v>1</v>
      </c>
      <c r="K7" s="24" t="str">
        <f t="shared" si="2"/>
        <v/>
      </c>
      <c r="L7" s="25">
        <f>IF(O7=2,ROUNDDOWN(試算シミュレーション!F27*0.85-685000,0),0)</f>
        <v>0</v>
      </c>
      <c r="M7" s="17">
        <f>IF(試算シミュレーション!$F$27&gt;=A7,1,0)</f>
        <v>0</v>
      </c>
      <c r="N7" s="17">
        <f>IF(試算シミュレーション!$F$27&lt;=D7,1,0)</f>
        <v>1</v>
      </c>
      <c r="O7" s="17">
        <f t="shared" si="3"/>
        <v>1</v>
      </c>
      <c r="P7" s="24" t="str">
        <f t="shared" si="4"/>
        <v/>
      </c>
      <c r="Q7" s="25">
        <f>IF(T7=2,ROUNDDOWN(試算シミュレーション!F29*0.85-695000,0),0)</f>
        <v>0</v>
      </c>
      <c r="R7" s="17">
        <f>IF(試算シミュレーション!$F$29&gt;=A7,1,0)</f>
        <v>0</v>
      </c>
      <c r="S7" s="17">
        <f>IF(試算シミュレーション!$F$29&lt;=D7,1,0)</f>
        <v>1</v>
      </c>
      <c r="T7" s="17">
        <f t="shared" si="5"/>
        <v>1</v>
      </c>
      <c r="U7" s="24" t="str">
        <f t="shared" si="6"/>
        <v/>
      </c>
      <c r="V7" s="25">
        <f>IF(Y7=2,ROUNDDOWN(試算シミュレーション!F31*0.85-695000,0),0)</f>
        <v>0</v>
      </c>
      <c r="W7" s="17">
        <f>IF(試算シミュレーション!$F$31&gt;=A7,1,0)</f>
        <v>0</v>
      </c>
      <c r="X7" s="17">
        <f>IF(試算シミュレーション!$F$31&lt;=D7,1,0)</f>
        <v>1</v>
      </c>
      <c r="Y7" s="17">
        <f t="shared" si="7"/>
        <v>1</v>
      </c>
      <c r="Z7" s="24" t="str">
        <f t="shared" si="8"/>
        <v/>
      </c>
      <c r="AA7" s="25">
        <f>IF(AD7=2,ROUNDDOWN(試算シミュレーション!F33*0.85-695000,0),0)</f>
        <v>0</v>
      </c>
      <c r="AB7" s="17">
        <f>IF(試算シミュレーション!$F$33&gt;=A7,1,0)</f>
        <v>0</v>
      </c>
      <c r="AC7" s="17">
        <f>IF(試算シミュレーション!$F$33&lt;=D7,1,0)</f>
        <v>1</v>
      </c>
      <c r="AD7" s="17">
        <f t="shared" si="9"/>
        <v>1</v>
      </c>
      <c r="AE7" s="24" t="str">
        <f t="shared" si="10"/>
        <v/>
      </c>
      <c r="AF7" s="25">
        <f>IF(AI7=2,ROUNDDOWN(試算シミュレーション!F35*0.85-695000,0),0)</f>
        <v>0</v>
      </c>
      <c r="AG7" s="17">
        <f>IF(試算シミュレーション!$F$35&gt;=A7,1,0)</f>
        <v>0</v>
      </c>
      <c r="AH7" s="17">
        <f>IF(試算シミュレーション!$F$35&lt;=D7,1,0)</f>
        <v>1</v>
      </c>
      <c r="AI7" s="17">
        <f t="shared" si="11"/>
        <v>1</v>
      </c>
      <c r="AJ7" s="24" t="str">
        <f t="shared" si="12"/>
        <v/>
      </c>
      <c r="AK7" s="25">
        <f>IF(AN7=2,ROUNDDOWN(試算シミュレーション!F37*0.85-695000,0),0)</f>
        <v>0</v>
      </c>
      <c r="AL7" s="17">
        <f>IF(試算シミュレーション!$F$37&gt;=A7,1,0)</f>
        <v>0</v>
      </c>
      <c r="AM7" s="17">
        <f>IF(試算シミュレーション!$F$37&lt;=D7,1,0)</f>
        <v>1</v>
      </c>
      <c r="AN7" s="17">
        <f t="shared" si="13"/>
        <v>1</v>
      </c>
      <c r="AO7" s="24" t="str">
        <f t="shared" si="14"/>
        <v/>
      </c>
      <c r="AP7" s="25">
        <f>IF(AS7=2,ROUNDDOWN(試算シミュレーション!F48*0.85-695000,0),0)</f>
        <v>0</v>
      </c>
      <c r="AQ7" s="17">
        <f>IF(試算シミュレーション!$F$48&gt;=A7,1,0)</f>
        <v>0</v>
      </c>
      <c r="AR7" s="17">
        <f>IF(試算シミュレーション!$F$48&lt;=D7,1,0)</f>
        <v>1</v>
      </c>
      <c r="AS7" s="17">
        <f t="shared" si="15"/>
        <v>1</v>
      </c>
    </row>
    <row r="8" spans="1:45" ht="20.100000000000001" customHeight="1">
      <c r="A8" s="225">
        <v>7700000</v>
      </c>
      <c r="B8" s="226"/>
      <c r="C8" s="7" t="s">
        <v>26</v>
      </c>
      <c r="D8" s="226">
        <v>9999999</v>
      </c>
      <c r="E8" s="226"/>
      <c r="F8" s="24" t="str">
        <f t="shared" si="0"/>
        <v/>
      </c>
      <c r="G8" s="25">
        <f>IF(J8=2,ROUNDDOWN(試算シミュレーション!F25*0.95-1455000,0),0)</f>
        <v>0</v>
      </c>
      <c r="H8" s="17">
        <f>IF(試算シミュレーション!$F$25&gt;=A8,1,0)</f>
        <v>0</v>
      </c>
      <c r="I8" s="17">
        <f>IF(試算シミュレーション!$F$25&lt;=D8,1,0)</f>
        <v>1</v>
      </c>
      <c r="J8" s="17">
        <f t="shared" si="1"/>
        <v>1</v>
      </c>
      <c r="K8" s="24" t="str">
        <f t="shared" si="2"/>
        <v/>
      </c>
      <c r="L8" s="25">
        <f>IF(O8=2,ROUNDDOWN(試算シミュレーション!F27*0.95-1455000,0),0)</f>
        <v>0</v>
      </c>
      <c r="M8" s="17">
        <f>IF(試算シミュレーション!$F$27&gt;=A8,1,0)</f>
        <v>0</v>
      </c>
      <c r="N8" s="17">
        <f>IF(試算シミュレーション!$F$27&lt;=D8,1,0)</f>
        <v>1</v>
      </c>
      <c r="O8" s="17">
        <f t="shared" si="3"/>
        <v>1</v>
      </c>
      <c r="P8" s="24" t="str">
        <f t="shared" si="4"/>
        <v/>
      </c>
      <c r="Q8" s="25">
        <f>IF(T8=2,ROUNDDOWN(試算シミュレーション!F29*0.95-1455000,0),0)</f>
        <v>0</v>
      </c>
      <c r="R8" s="17">
        <f>IF(試算シミュレーション!$F$29&gt;=A8,1,0)</f>
        <v>0</v>
      </c>
      <c r="S8" s="17">
        <f>IF(試算シミュレーション!$F$29&lt;=D8,1,0)</f>
        <v>1</v>
      </c>
      <c r="T8" s="17">
        <f t="shared" si="5"/>
        <v>1</v>
      </c>
      <c r="U8" s="24" t="str">
        <f t="shared" si="6"/>
        <v/>
      </c>
      <c r="V8" s="25">
        <f>IF(Y8=2,ROUNDDOWN(試算シミュレーション!F31*0.95-1455000,0),0)</f>
        <v>0</v>
      </c>
      <c r="W8" s="17">
        <f>IF(試算シミュレーション!$F$31&gt;=A8,1,0)</f>
        <v>0</v>
      </c>
      <c r="X8" s="17">
        <f>IF(試算シミュレーション!$F$31&lt;=D8,1,0)</f>
        <v>1</v>
      </c>
      <c r="Y8" s="17">
        <f t="shared" si="7"/>
        <v>1</v>
      </c>
      <c r="Z8" s="24" t="str">
        <f t="shared" si="8"/>
        <v/>
      </c>
      <c r="AA8" s="25">
        <f>IF(AD8=2,ROUNDDOWN(試算シミュレーション!F33*0.95-1455000,0),0)</f>
        <v>0</v>
      </c>
      <c r="AB8" s="17">
        <f>IF(試算シミュレーション!$F$33&gt;=A8,1,0)</f>
        <v>0</v>
      </c>
      <c r="AC8" s="17">
        <f>IF(試算シミュレーション!$F$33&lt;=D8,1,0)</f>
        <v>1</v>
      </c>
      <c r="AD8" s="17">
        <f t="shared" si="9"/>
        <v>1</v>
      </c>
      <c r="AE8" s="24" t="str">
        <f t="shared" si="10"/>
        <v/>
      </c>
      <c r="AF8" s="25">
        <f>IF(AI8=2,ROUNDDOWN(試算シミュレーション!F35*0.95-1455000,0),0)</f>
        <v>0</v>
      </c>
      <c r="AG8" s="17">
        <f>IF(試算シミュレーション!$F$35&gt;=A8,1,0)</f>
        <v>0</v>
      </c>
      <c r="AH8" s="17">
        <f>IF(試算シミュレーション!$F$35&lt;=D8,1,0)</f>
        <v>1</v>
      </c>
      <c r="AI8" s="17">
        <f t="shared" si="11"/>
        <v>1</v>
      </c>
      <c r="AJ8" s="24" t="str">
        <f t="shared" si="12"/>
        <v/>
      </c>
      <c r="AK8" s="25">
        <f>IF(AN8=2,ROUNDDOWN(試算シミュレーション!F37*0.95-1455000,0),0)</f>
        <v>0</v>
      </c>
      <c r="AL8" s="17">
        <f>IF(試算シミュレーション!$F$37&gt;=A8,1,0)</f>
        <v>0</v>
      </c>
      <c r="AM8" s="17">
        <f>IF(試算シミュレーション!$F$37&lt;=D8,1,0)</f>
        <v>1</v>
      </c>
      <c r="AN8" s="17">
        <f t="shared" si="13"/>
        <v>1</v>
      </c>
      <c r="AO8" s="24" t="str">
        <f t="shared" si="14"/>
        <v/>
      </c>
      <c r="AP8" s="25">
        <f>IF(AS8=2,ROUNDDOWN(試算シミュレーション!F48*0.95-1455000,0),0)</f>
        <v>0</v>
      </c>
      <c r="AQ8" s="17">
        <f>IF(試算シミュレーション!$F$48&gt;=A8,1,0)</f>
        <v>0</v>
      </c>
      <c r="AR8" s="17">
        <f>IF(試算シミュレーション!$F$48&lt;=D8,1,0)</f>
        <v>1</v>
      </c>
      <c r="AS8" s="17">
        <f t="shared" si="15"/>
        <v>1</v>
      </c>
    </row>
    <row r="9" spans="1:45" ht="20.100000000000001" customHeight="1">
      <c r="A9" s="225">
        <v>10000000</v>
      </c>
      <c r="B9" s="226"/>
      <c r="C9" s="7" t="s">
        <v>26</v>
      </c>
      <c r="D9" s="226"/>
      <c r="E9" s="226"/>
      <c r="F9" s="24" t="str">
        <f t="shared" si="0"/>
        <v/>
      </c>
      <c r="G9" s="25">
        <f>IF(J9=2,試算シミュレーション!F25-1955000,0)</f>
        <v>0</v>
      </c>
      <c r="H9" s="17">
        <f>IF(試算シミュレーション!$F$25&gt;=A9,1,0)</f>
        <v>0</v>
      </c>
      <c r="I9" s="17">
        <f>IF(試算シミュレーション!$F$25&gt;=A9,1,0)</f>
        <v>0</v>
      </c>
      <c r="J9" s="17">
        <f t="shared" si="1"/>
        <v>0</v>
      </c>
      <c r="K9" s="24" t="str">
        <f t="shared" si="2"/>
        <v/>
      </c>
      <c r="L9" s="25">
        <f>IF(O9=2,試算シミュレーション!F27-1955000,0)</f>
        <v>0</v>
      </c>
      <c r="M9" s="17">
        <f>IF(試算シミュレーション!$F$27&gt;=A9,1,0)</f>
        <v>0</v>
      </c>
      <c r="N9" s="17">
        <f>IF(試算シミュレーション!$F$27&gt;=D9,1,0)</f>
        <v>1</v>
      </c>
      <c r="O9" s="17">
        <f t="shared" si="3"/>
        <v>1</v>
      </c>
      <c r="P9" s="24" t="str">
        <f t="shared" si="4"/>
        <v/>
      </c>
      <c r="Q9" s="25">
        <f>IF(T9=2,試算シミュレーション!F29-1955000,0)</f>
        <v>0</v>
      </c>
      <c r="R9" s="17">
        <f>IF(試算シミュレーション!$F$29&gt;=A9,1,0)</f>
        <v>0</v>
      </c>
      <c r="S9" s="17">
        <f>IF(試算シミュレーション!$F$29&gt;=D9,1,0)</f>
        <v>1</v>
      </c>
      <c r="T9" s="17">
        <f t="shared" si="5"/>
        <v>1</v>
      </c>
      <c r="U9" s="24" t="str">
        <f t="shared" si="6"/>
        <v/>
      </c>
      <c r="V9" s="25">
        <f>IF(Y9=2,試算シミュレーション!F31-1955000,0)</f>
        <v>0</v>
      </c>
      <c r="W9" s="17">
        <f>IF(試算シミュレーション!$F$31&gt;=A9,1,0)</f>
        <v>0</v>
      </c>
      <c r="X9" s="17">
        <f>IF(試算シミュレーション!$F$31&gt;=D9,1,0)</f>
        <v>1</v>
      </c>
      <c r="Y9" s="17">
        <f t="shared" si="7"/>
        <v>1</v>
      </c>
      <c r="Z9" s="24" t="str">
        <f t="shared" si="8"/>
        <v/>
      </c>
      <c r="AA9" s="25">
        <f>IF(AD9=2,試算シミュレーション!F33-1955000,0)</f>
        <v>0</v>
      </c>
      <c r="AB9" s="17">
        <f>IF(試算シミュレーション!$F$33&gt;=A9,1,0)</f>
        <v>0</v>
      </c>
      <c r="AC9" s="17">
        <f>IF(試算シミュレーション!$F$33&gt;=D9,1,0)</f>
        <v>1</v>
      </c>
      <c r="AD9" s="17">
        <f t="shared" si="9"/>
        <v>1</v>
      </c>
      <c r="AE9" s="24" t="str">
        <f t="shared" si="10"/>
        <v/>
      </c>
      <c r="AF9" s="25">
        <f>IF(AI9=2,試算シミュレーション!F35-1955000,0)</f>
        <v>0</v>
      </c>
      <c r="AG9" s="17">
        <f>IF(試算シミュレーション!$F$35&gt;=A9,1,0)</f>
        <v>0</v>
      </c>
      <c r="AH9" s="17">
        <f>IF(試算シミュレーション!$F$35&gt;=D9,1,0)</f>
        <v>1</v>
      </c>
      <c r="AI9" s="17">
        <f t="shared" si="11"/>
        <v>1</v>
      </c>
      <c r="AJ9" s="24" t="str">
        <f t="shared" si="12"/>
        <v/>
      </c>
      <c r="AK9" s="25">
        <f>IF(AN9=2,試算シミュレーション!F37-1955000,0)</f>
        <v>0</v>
      </c>
      <c r="AL9" s="17">
        <f>IF(試算シミュレーション!$F$37&gt;=A9,1,0)</f>
        <v>0</v>
      </c>
      <c r="AM9" s="17">
        <f>IF(試算シミュレーション!$F$37&gt;=D9,1,0)</f>
        <v>1</v>
      </c>
      <c r="AN9" s="17">
        <f t="shared" si="13"/>
        <v>1</v>
      </c>
      <c r="AO9" s="24" t="str">
        <f t="shared" si="14"/>
        <v/>
      </c>
      <c r="AP9" s="25">
        <f>IF(AS9=2,試算シミュレーション!F48-1955000,0)</f>
        <v>0</v>
      </c>
      <c r="AQ9" s="17">
        <f>IF(試算シミュレーション!$F$48&gt;=A9,1,0)</f>
        <v>0</v>
      </c>
      <c r="AR9" s="17">
        <f>IF(試算シミュレーション!$F$48&gt;=D9,1,0)</f>
        <v>1</v>
      </c>
      <c r="AS9" s="17">
        <f t="shared" si="15"/>
        <v>1</v>
      </c>
    </row>
    <row r="10" spans="1:45" ht="20.100000000000001" customHeight="1">
      <c r="B10" s="3"/>
      <c r="C10" s="3"/>
      <c r="D10" s="3"/>
      <c r="E10" s="3"/>
      <c r="F10" s="12"/>
      <c r="G10" s="26">
        <f>SUM(G4:G9)</f>
        <v>0</v>
      </c>
      <c r="H10" s="3"/>
      <c r="I10" s="3"/>
      <c r="J10" s="10"/>
      <c r="K10" s="12"/>
      <c r="L10" s="26">
        <f>SUM(L4:L9)</f>
        <v>0</v>
      </c>
      <c r="M10" s="3"/>
      <c r="N10" s="3"/>
      <c r="O10" s="10"/>
      <c r="P10" s="12"/>
      <c r="Q10" s="26">
        <f>SUM(Q4:Q9)</f>
        <v>0</v>
      </c>
      <c r="R10" s="3"/>
      <c r="S10" s="3"/>
      <c r="T10" s="10"/>
      <c r="U10" s="12"/>
      <c r="V10" s="26">
        <f>SUM(V4:V9)</f>
        <v>0</v>
      </c>
      <c r="W10" s="3"/>
      <c r="X10" s="3"/>
      <c r="Y10" s="10"/>
      <c r="Z10" s="12"/>
      <c r="AA10" s="26">
        <f>SUM(AA4:AA9)</f>
        <v>0</v>
      </c>
      <c r="AB10" s="3"/>
      <c r="AC10" s="3"/>
      <c r="AD10" s="10"/>
      <c r="AE10" s="12"/>
      <c r="AF10" s="26">
        <f>SUM(AF4:AF9)</f>
        <v>0</v>
      </c>
      <c r="AG10" s="3"/>
      <c r="AH10" s="3"/>
      <c r="AI10" s="10"/>
      <c r="AJ10" s="12"/>
      <c r="AK10" s="26">
        <f>SUM(AK4:AK9)</f>
        <v>0</v>
      </c>
      <c r="AL10" s="3"/>
      <c r="AM10" s="3"/>
      <c r="AN10" s="10"/>
      <c r="AO10" s="12"/>
      <c r="AP10" s="26">
        <f>SUM(AP4:AP9)</f>
        <v>0</v>
      </c>
      <c r="AQ10" s="3"/>
      <c r="AR10" s="3"/>
      <c r="AS10" s="10"/>
    </row>
    <row r="12" spans="1:45">
      <c r="A12" s="10" t="s">
        <v>31</v>
      </c>
    </row>
    <row r="13" spans="1:45">
      <c r="A13" s="4" t="s">
        <v>28</v>
      </c>
      <c r="B13" s="13"/>
      <c r="C13" s="3"/>
      <c r="D13" s="3"/>
      <c r="E13" s="3"/>
      <c r="F13" s="27" t="s">
        <v>49</v>
      </c>
      <c r="G13" s="28" t="s">
        <v>48</v>
      </c>
      <c r="H13" s="3"/>
      <c r="I13" s="3"/>
      <c r="J13" s="3"/>
      <c r="K13" s="27" t="s">
        <v>50</v>
      </c>
      <c r="L13" s="28" t="s">
        <v>51</v>
      </c>
      <c r="M13" s="3"/>
      <c r="N13" s="3"/>
      <c r="O13" s="3"/>
      <c r="P13" s="27" t="s">
        <v>52</v>
      </c>
      <c r="Q13" s="28" t="s">
        <v>53</v>
      </c>
      <c r="R13" s="3"/>
      <c r="S13" s="3"/>
      <c r="T13" s="3"/>
      <c r="U13" s="27" t="s">
        <v>54</v>
      </c>
      <c r="V13" s="28" t="s">
        <v>55</v>
      </c>
      <c r="W13" s="3"/>
      <c r="X13" s="3"/>
      <c r="Y13" s="3"/>
      <c r="Z13" s="27" t="s">
        <v>56</v>
      </c>
      <c r="AA13" s="28" t="s">
        <v>57</v>
      </c>
      <c r="AB13" s="3"/>
      <c r="AC13" s="3"/>
      <c r="AD13" s="3"/>
      <c r="AE13" s="27" t="s">
        <v>58</v>
      </c>
      <c r="AF13" s="28" t="s">
        <v>59</v>
      </c>
      <c r="AG13" s="3"/>
      <c r="AH13" s="3"/>
      <c r="AI13" s="3"/>
      <c r="AJ13" s="27" t="s">
        <v>60</v>
      </c>
      <c r="AK13" s="28" t="s">
        <v>61</v>
      </c>
      <c r="AL13" s="3"/>
      <c r="AM13" s="3"/>
      <c r="AN13" s="3"/>
      <c r="AO13" s="27" t="s">
        <v>73</v>
      </c>
      <c r="AP13" s="28" t="s">
        <v>74</v>
      </c>
      <c r="AQ13" s="3"/>
      <c r="AR13" s="3"/>
      <c r="AS13" s="3"/>
    </row>
    <row r="14" spans="1:45">
      <c r="A14" s="225">
        <v>1</v>
      </c>
      <c r="B14" s="226"/>
      <c r="C14" s="7" t="s">
        <v>25</v>
      </c>
      <c r="D14" s="226">
        <v>1100000</v>
      </c>
      <c r="E14" s="232"/>
      <c r="F14" s="32" t="str">
        <f t="shared" ref="F14:F19" si="16">IF(J14=2,"●","")</f>
        <v/>
      </c>
      <c r="G14" s="34">
        <f>IF(J14=2,0,0)</f>
        <v>0</v>
      </c>
      <c r="H14" s="17">
        <f>IF(試算シミュレーション!$H$25&gt;=A14,1,0)</f>
        <v>0</v>
      </c>
      <c r="I14" s="17">
        <f>IF(試算シミュレーション!$H$25&lt;=D14,1,0)</f>
        <v>1</v>
      </c>
      <c r="J14" s="17">
        <f t="shared" ref="J14:J19" si="17">H14+I14</f>
        <v>1</v>
      </c>
      <c r="K14" s="32" t="str">
        <f t="shared" ref="K14:K19" si="18">IF(O14=2,"●","")</f>
        <v/>
      </c>
      <c r="L14" s="34">
        <f>IF(O14=2,0,0)</f>
        <v>0</v>
      </c>
      <c r="M14" s="17">
        <f>IF(試算シミュレーション!$H$27&gt;=A14,1,0)</f>
        <v>0</v>
      </c>
      <c r="N14" s="17">
        <f>IF(試算シミュレーション!$H$27&lt;=D14,1,0)</f>
        <v>1</v>
      </c>
      <c r="O14" s="17">
        <f t="shared" ref="O14:O19" si="19">M14+N14</f>
        <v>1</v>
      </c>
      <c r="P14" s="32" t="str">
        <f t="shared" ref="P14:P19" si="20">IF(T14=2,"●","")</f>
        <v/>
      </c>
      <c r="Q14" s="34">
        <f>IF(T14=2,0,0)</f>
        <v>0</v>
      </c>
      <c r="R14" s="17">
        <f>IF(試算シミュレーション!$H$29&gt;=A14,1,0)</f>
        <v>0</v>
      </c>
      <c r="S14" s="17">
        <f>IF(試算シミュレーション!$H$29&lt;=D14,1,0)</f>
        <v>1</v>
      </c>
      <c r="T14" s="17">
        <f t="shared" ref="T14:T19" si="21">R14+S14</f>
        <v>1</v>
      </c>
      <c r="U14" s="32" t="str">
        <f t="shared" ref="U14:U19" si="22">IF(Y14=2,"●","")</f>
        <v/>
      </c>
      <c r="V14" s="34">
        <f>IF(Y14=2,0,0)</f>
        <v>0</v>
      </c>
      <c r="W14" s="17">
        <f>IF(試算シミュレーション!$H$31&gt;=A14,1,0)</f>
        <v>0</v>
      </c>
      <c r="X14" s="17">
        <f>IF(試算シミュレーション!$H$31&lt;=D14,1,0)</f>
        <v>1</v>
      </c>
      <c r="Y14" s="17">
        <f t="shared" ref="Y14:Y19" si="23">W14+X14</f>
        <v>1</v>
      </c>
      <c r="Z14" s="32" t="str">
        <f t="shared" ref="Z14:Z19" si="24">IF(AD14=2,"●","")</f>
        <v/>
      </c>
      <c r="AA14" s="34">
        <f>IF(AD14=2,0,0)</f>
        <v>0</v>
      </c>
      <c r="AB14" s="17">
        <f>IF(試算シミュレーション!$H$33&gt;=A14,1,0)</f>
        <v>0</v>
      </c>
      <c r="AC14" s="17">
        <f>IF(試算シミュレーション!$H$33&lt;=D14,1,0)</f>
        <v>1</v>
      </c>
      <c r="AD14" s="17">
        <f t="shared" ref="AD14:AD19" si="25">AB14+AC14</f>
        <v>1</v>
      </c>
      <c r="AE14" s="32" t="str">
        <f t="shared" ref="AE14:AE19" si="26">IF(AI14=2,"●","")</f>
        <v/>
      </c>
      <c r="AF14" s="34">
        <f>IF(AI14=2,0,0)</f>
        <v>0</v>
      </c>
      <c r="AG14" s="17">
        <f>IF(試算シミュレーション!$H$35&gt;=A14,1,0)</f>
        <v>0</v>
      </c>
      <c r="AH14" s="17">
        <f>IF(試算シミュレーション!$H$35&lt;=D14,1,0)</f>
        <v>1</v>
      </c>
      <c r="AI14" s="17">
        <f t="shared" ref="AI14:AI19" si="27">AG14+AH14</f>
        <v>1</v>
      </c>
      <c r="AJ14" s="32" t="str">
        <f t="shared" ref="AJ14:AJ19" si="28">IF(AN14=2,"●","")</f>
        <v/>
      </c>
      <c r="AK14" s="34">
        <f>IF(AN14=2,0,0)</f>
        <v>0</v>
      </c>
      <c r="AL14" s="17">
        <f>IF(試算シミュレーション!$H$37&gt;=A14,1,0)</f>
        <v>0</v>
      </c>
      <c r="AM14" s="17">
        <f>IF(試算シミュレーション!$H$37&lt;=D14,1,0)</f>
        <v>1</v>
      </c>
      <c r="AN14" s="17">
        <f t="shared" ref="AN14:AN19" si="29">AL14+AM14</f>
        <v>1</v>
      </c>
      <c r="AO14" s="32" t="str">
        <f t="shared" ref="AO14:AO19" si="30">IF(AS14=2,"●","")</f>
        <v/>
      </c>
      <c r="AP14" s="34">
        <f>IF(AS14=2,0,0)</f>
        <v>0</v>
      </c>
      <c r="AQ14" s="17">
        <f>IF(試算シミュレーション!$H$48&gt;=A14,1,0)</f>
        <v>0</v>
      </c>
      <c r="AR14" s="17">
        <f>IF(試算シミュレーション!$H$48&lt;=D14,1,0)</f>
        <v>1</v>
      </c>
      <c r="AS14" s="17">
        <f t="shared" ref="AS14:AS19" si="31">AQ14+AR14</f>
        <v>1</v>
      </c>
    </row>
    <row r="15" spans="1:45">
      <c r="A15" s="225">
        <v>1100001</v>
      </c>
      <c r="B15" s="226"/>
      <c r="C15" s="7" t="s">
        <v>25</v>
      </c>
      <c r="D15" s="226">
        <v>3299999</v>
      </c>
      <c r="E15" s="232"/>
      <c r="F15" s="32" t="str">
        <f t="shared" si="16"/>
        <v/>
      </c>
      <c r="G15" s="34">
        <f>IF(J15=2,試算シミュレーション!H25-1100000,0)</f>
        <v>0</v>
      </c>
      <c r="H15" s="17">
        <f>IF(試算シミュレーション!$H$25&gt;=A15,1,0)</f>
        <v>0</v>
      </c>
      <c r="I15" s="17">
        <f>IF(試算シミュレーション!$H$25&lt;=D15,1,0)</f>
        <v>1</v>
      </c>
      <c r="J15" s="17">
        <f t="shared" si="17"/>
        <v>1</v>
      </c>
      <c r="K15" s="32" t="str">
        <f t="shared" si="18"/>
        <v/>
      </c>
      <c r="L15" s="34">
        <f>IF(O15=2,試算シミュレーション!H27-1100000,0)</f>
        <v>0</v>
      </c>
      <c r="M15" s="17">
        <f>IF(試算シミュレーション!$H$27&gt;=A15,1,0)</f>
        <v>0</v>
      </c>
      <c r="N15" s="17">
        <f>IF(試算シミュレーション!$H$27&lt;=D15,1,0)</f>
        <v>1</v>
      </c>
      <c r="O15" s="17">
        <f t="shared" si="19"/>
        <v>1</v>
      </c>
      <c r="P15" s="32" t="str">
        <f t="shared" si="20"/>
        <v/>
      </c>
      <c r="Q15" s="34">
        <f>IF(T15=2,試算シミュレーション!H29-1100000,0)</f>
        <v>0</v>
      </c>
      <c r="R15" s="17">
        <f>IF(試算シミュレーション!$H$29&gt;=A15,1,0)</f>
        <v>0</v>
      </c>
      <c r="S15" s="17">
        <f>IF(試算シミュレーション!$H$29&lt;=D15,1,0)</f>
        <v>1</v>
      </c>
      <c r="T15" s="17">
        <f t="shared" si="21"/>
        <v>1</v>
      </c>
      <c r="U15" s="32" t="str">
        <f t="shared" si="22"/>
        <v/>
      </c>
      <c r="V15" s="34">
        <f>IF(Y15=2,試算シミュレーション!H31-1100000,0)</f>
        <v>0</v>
      </c>
      <c r="W15" s="17">
        <f>IF(試算シミュレーション!$H$31&gt;=A15,1,0)</f>
        <v>0</v>
      </c>
      <c r="X15" s="17">
        <f>IF(試算シミュレーション!$H$31&lt;=D15,1,0)</f>
        <v>1</v>
      </c>
      <c r="Y15" s="17">
        <f t="shared" si="23"/>
        <v>1</v>
      </c>
      <c r="Z15" s="32" t="str">
        <f t="shared" si="24"/>
        <v/>
      </c>
      <c r="AA15" s="34">
        <f>IF(AD15=2,試算シミュレーション!H33-1100000,0)</f>
        <v>0</v>
      </c>
      <c r="AB15" s="17">
        <f>IF(試算シミュレーション!$H$33&gt;=A15,1,0)</f>
        <v>0</v>
      </c>
      <c r="AC15" s="17">
        <f>IF(試算シミュレーション!$H$33&lt;=D15,1,0)</f>
        <v>1</v>
      </c>
      <c r="AD15" s="17">
        <f t="shared" si="25"/>
        <v>1</v>
      </c>
      <c r="AE15" s="32" t="str">
        <f t="shared" si="26"/>
        <v/>
      </c>
      <c r="AF15" s="34">
        <f>IF(AI15=2,試算シミュレーション!H35-1100000,0)</f>
        <v>0</v>
      </c>
      <c r="AG15" s="17">
        <f>IF(試算シミュレーション!$H$35&gt;=A15,1,0)</f>
        <v>0</v>
      </c>
      <c r="AH15" s="17">
        <f>IF(試算シミュレーション!$H$35&lt;=D15,1,0)</f>
        <v>1</v>
      </c>
      <c r="AI15" s="17">
        <f t="shared" si="27"/>
        <v>1</v>
      </c>
      <c r="AJ15" s="32" t="str">
        <f t="shared" si="28"/>
        <v/>
      </c>
      <c r="AK15" s="34">
        <f>IF(AN15=2,試算シミュレーション!H37-1100000,0)</f>
        <v>0</v>
      </c>
      <c r="AL15" s="17">
        <f>IF(試算シミュレーション!$H$37&gt;=A15,1,0)</f>
        <v>0</v>
      </c>
      <c r="AM15" s="17">
        <f>IF(試算シミュレーション!$H$37&lt;=D15,1,0)</f>
        <v>1</v>
      </c>
      <c r="AN15" s="17">
        <f t="shared" si="29"/>
        <v>1</v>
      </c>
      <c r="AO15" s="32" t="str">
        <f t="shared" si="30"/>
        <v/>
      </c>
      <c r="AP15" s="34">
        <f>IF(AS15=2,試算シミュレーション!H48-1100000,0)</f>
        <v>0</v>
      </c>
      <c r="AQ15" s="17">
        <f>IF(試算シミュレーション!$H$48&gt;=A15,1,0)</f>
        <v>0</v>
      </c>
      <c r="AR15" s="17">
        <f>IF(試算シミュレーション!$H$48&lt;=D15,1,0)</f>
        <v>1</v>
      </c>
      <c r="AS15" s="17">
        <f t="shared" si="31"/>
        <v>1</v>
      </c>
    </row>
    <row r="16" spans="1:45">
      <c r="A16" s="225">
        <v>3300000</v>
      </c>
      <c r="B16" s="226"/>
      <c r="C16" s="7" t="s">
        <v>25</v>
      </c>
      <c r="D16" s="226">
        <v>4099999</v>
      </c>
      <c r="E16" s="232"/>
      <c r="F16" s="32" t="str">
        <f t="shared" si="16"/>
        <v/>
      </c>
      <c r="G16" s="34">
        <f>IF(J16=2,ROUNDDOWN(試算シミュレーション!H25*0.75-275000,0),0)</f>
        <v>0</v>
      </c>
      <c r="H16" s="17">
        <f>IF(試算シミュレーション!$H$25&gt;=A16,1,0)</f>
        <v>0</v>
      </c>
      <c r="I16" s="17">
        <f>IF(試算シミュレーション!$H$25&lt;=D16,1,0)</f>
        <v>1</v>
      </c>
      <c r="J16" s="17">
        <f t="shared" si="17"/>
        <v>1</v>
      </c>
      <c r="K16" s="32" t="str">
        <f t="shared" si="18"/>
        <v/>
      </c>
      <c r="L16" s="34">
        <f>IF(O16=2,ROUNDDOWN(試算シミュレーション!H27*0.75-275000,0),0)</f>
        <v>0</v>
      </c>
      <c r="M16" s="17">
        <f>IF(試算シミュレーション!$H$27&gt;=A16,1,0)</f>
        <v>0</v>
      </c>
      <c r="N16" s="17">
        <f>IF(試算シミュレーション!$H$27&lt;=D16,1,0)</f>
        <v>1</v>
      </c>
      <c r="O16" s="17">
        <f t="shared" si="19"/>
        <v>1</v>
      </c>
      <c r="P16" s="32" t="str">
        <f t="shared" si="20"/>
        <v/>
      </c>
      <c r="Q16" s="34">
        <f>IF(T16=2,ROUNDDOWN(試算シミュレーション!H29*0.75-275000,0),0)</f>
        <v>0</v>
      </c>
      <c r="R16" s="17">
        <f>IF(試算シミュレーション!$H$29&gt;=A16,1,0)</f>
        <v>0</v>
      </c>
      <c r="S16" s="17">
        <f>IF(試算シミュレーション!$H$29&lt;=D16,1,0)</f>
        <v>1</v>
      </c>
      <c r="T16" s="17">
        <f t="shared" si="21"/>
        <v>1</v>
      </c>
      <c r="U16" s="32" t="str">
        <f t="shared" si="22"/>
        <v/>
      </c>
      <c r="V16" s="34">
        <f>IF(Y16=2,ROUNDDOWN(試算シミュレーション!H31*0.75-275000,0),0)</f>
        <v>0</v>
      </c>
      <c r="W16" s="17">
        <f>IF(試算シミュレーション!$H$31&gt;=A16,1,0)</f>
        <v>0</v>
      </c>
      <c r="X16" s="17">
        <f>IF(試算シミュレーション!$H$31&lt;=D16,1,0)</f>
        <v>1</v>
      </c>
      <c r="Y16" s="17">
        <f t="shared" si="23"/>
        <v>1</v>
      </c>
      <c r="Z16" s="32" t="str">
        <f t="shared" si="24"/>
        <v/>
      </c>
      <c r="AA16" s="34">
        <f>IF(AD16=2,ROUNDDOWN(試算シミュレーション!H33*0.75-275000,0),0)</f>
        <v>0</v>
      </c>
      <c r="AB16" s="17">
        <f>IF(試算シミュレーション!$H$33&gt;=A16,1,0)</f>
        <v>0</v>
      </c>
      <c r="AC16" s="17">
        <f>IF(試算シミュレーション!$H$33&lt;=D16,1,0)</f>
        <v>1</v>
      </c>
      <c r="AD16" s="17">
        <f t="shared" si="25"/>
        <v>1</v>
      </c>
      <c r="AE16" s="32" t="str">
        <f t="shared" si="26"/>
        <v/>
      </c>
      <c r="AF16" s="34">
        <f>IF(AI16=2,ROUNDDOWN(試算シミュレーション!H35*0.75-275000,0),0)</f>
        <v>0</v>
      </c>
      <c r="AG16" s="17">
        <f>IF(試算シミュレーション!$H$35&gt;=A16,1,0)</f>
        <v>0</v>
      </c>
      <c r="AH16" s="17">
        <f>IF(試算シミュレーション!$H$35&lt;=D16,1,0)</f>
        <v>1</v>
      </c>
      <c r="AI16" s="17">
        <f t="shared" si="27"/>
        <v>1</v>
      </c>
      <c r="AJ16" s="32" t="str">
        <f t="shared" si="28"/>
        <v/>
      </c>
      <c r="AK16" s="34">
        <f>IF(AN16=2,ROUNDDOWN(試算シミュレーション!H37*0.75-275000,0),0)</f>
        <v>0</v>
      </c>
      <c r="AL16" s="17">
        <f>IF(試算シミュレーション!$H$37&gt;=A16,1,0)</f>
        <v>0</v>
      </c>
      <c r="AM16" s="17">
        <f>IF(試算シミュレーション!$H$37&lt;=D16,1,0)</f>
        <v>1</v>
      </c>
      <c r="AN16" s="17">
        <f t="shared" si="29"/>
        <v>1</v>
      </c>
      <c r="AO16" s="32" t="str">
        <f t="shared" si="30"/>
        <v/>
      </c>
      <c r="AP16" s="34">
        <f>IF(AS16=2,ROUNDDOWN(試算シミュレーション!H48*0.75-275000,0),0)</f>
        <v>0</v>
      </c>
      <c r="AQ16" s="17">
        <f>IF(試算シミュレーション!$H$48&gt;=A16,1,0)</f>
        <v>0</v>
      </c>
      <c r="AR16" s="17">
        <f>IF(試算シミュレーション!$H$48&lt;=D16,1,0)</f>
        <v>1</v>
      </c>
      <c r="AS16" s="17">
        <f t="shared" si="31"/>
        <v>1</v>
      </c>
    </row>
    <row r="17" spans="1:45">
      <c r="A17" s="225">
        <v>4100000</v>
      </c>
      <c r="B17" s="226"/>
      <c r="C17" s="7" t="s">
        <v>25</v>
      </c>
      <c r="D17" s="226">
        <v>7699999</v>
      </c>
      <c r="E17" s="232"/>
      <c r="F17" s="32" t="str">
        <f t="shared" si="16"/>
        <v/>
      </c>
      <c r="G17" s="34">
        <f>IF(J17=2,ROUNDDOWN(試算シミュレーション!H25*0.85-685000,0),0)</f>
        <v>0</v>
      </c>
      <c r="H17" s="17">
        <f>IF(試算シミュレーション!$H$25&gt;=A17,1,0)</f>
        <v>0</v>
      </c>
      <c r="I17" s="17">
        <f>IF(試算シミュレーション!$H$25&lt;=D17,1,0)</f>
        <v>1</v>
      </c>
      <c r="J17" s="17">
        <f t="shared" si="17"/>
        <v>1</v>
      </c>
      <c r="K17" s="32" t="str">
        <f t="shared" si="18"/>
        <v/>
      </c>
      <c r="L17" s="34">
        <f>IF(O17=2,ROUNDDOWN(試算シミュレーション!H27*0.85-685000,0),0)</f>
        <v>0</v>
      </c>
      <c r="M17" s="17">
        <f>IF(試算シミュレーション!$H$27&gt;=A17,1,0)</f>
        <v>0</v>
      </c>
      <c r="N17" s="17">
        <f>IF(試算シミュレーション!$H$27&lt;=D17,1,0)</f>
        <v>1</v>
      </c>
      <c r="O17" s="17">
        <f t="shared" si="19"/>
        <v>1</v>
      </c>
      <c r="P17" s="32" t="str">
        <f t="shared" si="20"/>
        <v/>
      </c>
      <c r="Q17" s="34">
        <f>IF(T17=2,ROUNDDOWN(試算シミュレーション!H29*0.85-685000,0),0)</f>
        <v>0</v>
      </c>
      <c r="R17" s="17">
        <f>IF(試算シミュレーション!$H$29&gt;=A17,1,0)</f>
        <v>0</v>
      </c>
      <c r="S17" s="17">
        <f>IF(試算シミュレーション!$H$29&lt;=D17,1,0)</f>
        <v>1</v>
      </c>
      <c r="T17" s="17">
        <f t="shared" si="21"/>
        <v>1</v>
      </c>
      <c r="U17" s="32" t="str">
        <f t="shared" si="22"/>
        <v/>
      </c>
      <c r="V17" s="34">
        <f>IF(Y17=2,ROUNDDOWN(試算シミュレーション!H31*0.85-685000,0),0)</f>
        <v>0</v>
      </c>
      <c r="W17" s="17">
        <f>IF(試算シミュレーション!$H$31&gt;=A17,1,0)</f>
        <v>0</v>
      </c>
      <c r="X17" s="17">
        <f>IF(試算シミュレーション!$H$31&lt;=D17,1,0)</f>
        <v>1</v>
      </c>
      <c r="Y17" s="17">
        <f t="shared" si="23"/>
        <v>1</v>
      </c>
      <c r="Z17" s="32" t="str">
        <f t="shared" si="24"/>
        <v/>
      </c>
      <c r="AA17" s="34">
        <f>IF(AD17=2,ROUNDDOWN(試算シミュレーション!H33*0.85-685000,0),0)</f>
        <v>0</v>
      </c>
      <c r="AB17" s="17">
        <f>IF(試算シミュレーション!$H$33&gt;=A17,1,0)</f>
        <v>0</v>
      </c>
      <c r="AC17" s="17">
        <f>IF(試算シミュレーション!$H$33&lt;=D17,1,0)</f>
        <v>1</v>
      </c>
      <c r="AD17" s="17">
        <f t="shared" si="25"/>
        <v>1</v>
      </c>
      <c r="AE17" s="32" t="str">
        <f t="shared" si="26"/>
        <v/>
      </c>
      <c r="AF17" s="34">
        <f>IF(AI17=2,ROUNDDOWN(試算シミュレーション!H35*0.85-685000,0),0)</f>
        <v>0</v>
      </c>
      <c r="AG17" s="17">
        <f>IF(試算シミュレーション!$H$35&gt;=A17,1,0)</f>
        <v>0</v>
      </c>
      <c r="AH17" s="17">
        <f>IF(試算シミュレーション!$H$35&lt;=D17,1,0)</f>
        <v>1</v>
      </c>
      <c r="AI17" s="17">
        <f t="shared" si="27"/>
        <v>1</v>
      </c>
      <c r="AJ17" s="32" t="str">
        <f t="shared" si="28"/>
        <v/>
      </c>
      <c r="AK17" s="34">
        <f>IF(AN17=2,ROUNDDOWN(試算シミュレーション!H37*0.85-685000,0),0)</f>
        <v>0</v>
      </c>
      <c r="AL17" s="17">
        <f>IF(試算シミュレーション!$H$37&gt;=A17,1,0)</f>
        <v>0</v>
      </c>
      <c r="AM17" s="17">
        <f>IF(試算シミュレーション!$H$37&lt;=D17,1,0)</f>
        <v>1</v>
      </c>
      <c r="AN17" s="17">
        <f t="shared" si="29"/>
        <v>1</v>
      </c>
      <c r="AO17" s="32" t="str">
        <f t="shared" si="30"/>
        <v/>
      </c>
      <c r="AP17" s="34">
        <f>IF(AS17=2,ROUNDDOWN(試算シミュレーション!H48*0.85-685000,0),0)</f>
        <v>0</v>
      </c>
      <c r="AQ17" s="17">
        <f>IF(試算シミュレーション!$H$48&gt;=A17,1,0)</f>
        <v>0</v>
      </c>
      <c r="AR17" s="17">
        <f>IF(試算シミュレーション!$H$48&lt;=D17,1,0)</f>
        <v>1</v>
      </c>
      <c r="AS17" s="17">
        <f t="shared" si="31"/>
        <v>1</v>
      </c>
    </row>
    <row r="18" spans="1:45">
      <c r="A18" s="230">
        <v>7700000</v>
      </c>
      <c r="B18" s="231"/>
      <c r="C18" s="30" t="s">
        <v>26</v>
      </c>
      <c r="D18" s="231">
        <v>9999999</v>
      </c>
      <c r="E18" s="233"/>
      <c r="F18" s="33" t="str">
        <f t="shared" si="16"/>
        <v/>
      </c>
      <c r="G18" s="34">
        <f>IF(J18=2,ROUNDDOWN(試算シミュレーション!H25*0.95-1455000,0),0)</f>
        <v>0</v>
      </c>
      <c r="H18" s="31">
        <f>IF(試算シミュレーション!$H$25&gt;=A18,1,0)</f>
        <v>0</v>
      </c>
      <c r="I18" s="17">
        <f>IF(試算シミュレーション!$H$25&lt;=D18,1,0)</f>
        <v>1</v>
      </c>
      <c r="J18" s="31">
        <f t="shared" si="17"/>
        <v>1</v>
      </c>
      <c r="K18" s="33" t="str">
        <f t="shared" si="18"/>
        <v/>
      </c>
      <c r="L18" s="34">
        <f>IF(O18=2,ROUNDDOWN(試算シミュレーション!H27*0.95-1455000,0),0)</f>
        <v>0</v>
      </c>
      <c r="M18" s="31">
        <f>IF(試算シミュレーション!$H$27&gt;=A18,1,0)</f>
        <v>0</v>
      </c>
      <c r="N18" s="17">
        <f>IF(試算シミュレーション!$H$27&lt;=D18,1,0)</f>
        <v>1</v>
      </c>
      <c r="O18" s="31">
        <f t="shared" si="19"/>
        <v>1</v>
      </c>
      <c r="P18" s="33" t="str">
        <f t="shared" si="20"/>
        <v/>
      </c>
      <c r="Q18" s="34">
        <f>IF(T18=2,ROUNDDOWN(試算シミュレーション!H29*0.95-1455000,0),0)</f>
        <v>0</v>
      </c>
      <c r="R18" s="31">
        <f>IF(試算シミュレーション!$H$29&gt;=A18,1,0)</f>
        <v>0</v>
      </c>
      <c r="S18" s="17">
        <f>IF(試算シミュレーション!$H$29&lt;=D18,1,0)</f>
        <v>1</v>
      </c>
      <c r="T18" s="31">
        <f t="shared" si="21"/>
        <v>1</v>
      </c>
      <c r="U18" s="33" t="str">
        <f t="shared" si="22"/>
        <v/>
      </c>
      <c r="V18" s="34">
        <f>IF(Y18=2,ROUNDDOWN(試算シミュレーション!H31*0.95-1455000,0),0)</f>
        <v>0</v>
      </c>
      <c r="W18" s="31">
        <f>IF(試算シミュレーション!$H$31&gt;=A18,1,0)</f>
        <v>0</v>
      </c>
      <c r="X18" s="17">
        <f>IF(試算シミュレーション!$H$31&lt;=D18,1,0)</f>
        <v>1</v>
      </c>
      <c r="Y18" s="31">
        <f t="shared" si="23"/>
        <v>1</v>
      </c>
      <c r="Z18" s="33" t="str">
        <f t="shared" si="24"/>
        <v/>
      </c>
      <c r="AA18" s="34">
        <f>IF(AD18=2,ROUNDDOWN(試算シミュレーション!H33*0.95-1455000,0),0)</f>
        <v>0</v>
      </c>
      <c r="AB18" s="31">
        <f>IF(試算シミュレーション!$H$33&gt;=A18,1,0)</f>
        <v>0</v>
      </c>
      <c r="AC18" s="17">
        <f>IF(試算シミュレーション!$H$33&lt;=D18,1,0)</f>
        <v>1</v>
      </c>
      <c r="AD18" s="31">
        <f t="shared" si="25"/>
        <v>1</v>
      </c>
      <c r="AE18" s="33" t="str">
        <f t="shared" si="26"/>
        <v/>
      </c>
      <c r="AF18" s="34">
        <f>IF(AI18=2,ROUNDDOWN(試算シミュレーション!H35*0.95-1455000,0),0)</f>
        <v>0</v>
      </c>
      <c r="AG18" s="31">
        <f>IF(試算シミュレーション!$H$35&gt;=A18,1,0)</f>
        <v>0</v>
      </c>
      <c r="AH18" s="17">
        <f>IF(試算シミュレーション!$H$35&lt;=D18,1,0)</f>
        <v>1</v>
      </c>
      <c r="AI18" s="31">
        <f t="shared" si="27"/>
        <v>1</v>
      </c>
      <c r="AJ18" s="33" t="str">
        <f t="shared" si="28"/>
        <v/>
      </c>
      <c r="AK18" s="34">
        <f>IF(AN18=2,ROUNDDOWN(試算シミュレーション!H37*0.95-1455000,0),0)</f>
        <v>0</v>
      </c>
      <c r="AL18" s="31">
        <f>IF(試算シミュレーション!$H$37&gt;=A18,1,0)</f>
        <v>0</v>
      </c>
      <c r="AM18" s="17">
        <f>IF(試算シミュレーション!$H$37&lt;=D18,1,0)</f>
        <v>1</v>
      </c>
      <c r="AN18" s="31">
        <f t="shared" si="29"/>
        <v>1</v>
      </c>
      <c r="AO18" s="33" t="str">
        <f t="shared" si="30"/>
        <v/>
      </c>
      <c r="AP18" s="34">
        <f>IF(AS18=2,ROUNDDOWN(試算シミュレーション!H48*0.95-1455000,0),0)</f>
        <v>0</v>
      </c>
      <c r="AQ18" s="31">
        <f>IF(試算シミュレーション!$H$48&gt;=A18,1,0)</f>
        <v>0</v>
      </c>
      <c r="AR18" s="17">
        <f>IF(試算シミュレーション!$H$48&lt;=D18,1,0)</f>
        <v>1</v>
      </c>
      <c r="AS18" s="31">
        <f t="shared" si="31"/>
        <v>1</v>
      </c>
    </row>
    <row r="19" spans="1:45">
      <c r="A19" s="230">
        <v>10000000</v>
      </c>
      <c r="B19" s="231"/>
      <c r="C19" s="30" t="s">
        <v>26</v>
      </c>
      <c r="D19" s="231"/>
      <c r="E19" s="233"/>
      <c r="F19" s="33" t="str">
        <f t="shared" si="16"/>
        <v/>
      </c>
      <c r="G19" s="34">
        <f>IF(J19=2,試算シミュレーション!H25-1955000,0)</f>
        <v>0</v>
      </c>
      <c r="H19" s="31">
        <f>IF(試算シミュレーション!$H$25&gt;=A19,1,0)</f>
        <v>0</v>
      </c>
      <c r="I19" s="31">
        <f>IF(試算シミュレーション!$H$25&gt;=D19,1,0)</f>
        <v>1</v>
      </c>
      <c r="J19" s="31">
        <f t="shared" si="17"/>
        <v>1</v>
      </c>
      <c r="K19" s="33" t="str">
        <f t="shared" si="18"/>
        <v/>
      </c>
      <c r="L19" s="34">
        <f>IF(O19=2,試算シミュレーション!H27-1955000,0)</f>
        <v>0</v>
      </c>
      <c r="M19" s="31">
        <f>IF(試算シミュレーション!$H$27&gt;=A19,1,0)</f>
        <v>0</v>
      </c>
      <c r="N19" s="31">
        <f>IF(試算シミュレーション!$H$27&gt;=D19,1,0)</f>
        <v>1</v>
      </c>
      <c r="O19" s="31">
        <f t="shared" si="19"/>
        <v>1</v>
      </c>
      <c r="P19" s="33" t="str">
        <f t="shared" si="20"/>
        <v/>
      </c>
      <c r="Q19" s="34">
        <f>IF(T19=2,試算シミュレーション!H29-1955000,0)</f>
        <v>0</v>
      </c>
      <c r="R19" s="31">
        <f>IF(試算シミュレーション!$H$29&gt;=A19,1,0)</f>
        <v>0</v>
      </c>
      <c r="S19" s="31">
        <f>IF(試算シミュレーション!$H$29&gt;=D19,1,0)</f>
        <v>1</v>
      </c>
      <c r="T19" s="31">
        <f t="shared" si="21"/>
        <v>1</v>
      </c>
      <c r="U19" s="33" t="str">
        <f t="shared" si="22"/>
        <v/>
      </c>
      <c r="V19" s="34">
        <f>IF(Y19=2,試算シミュレーション!H31-1955000,0)</f>
        <v>0</v>
      </c>
      <c r="W19" s="31">
        <f>IF(試算シミュレーション!$H$31&gt;=A19,1,0)</f>
        <v>0</v>
      </c>
      <c r="X19" s="31">
        <f>IF(試算シミュレーション!$H$31&gt;=D19,1,0)</f>
        <v>1</v>
      </c>
      <c r="Y19" s="31">
        <f t="shared" si="23"/>
        <v>1</v>
      </c>
      <c r="Z19" s="33" t="str">
        <f t="shared" si="24"/>
        <v/>
      </c>
      <c r="AA19" s="34">
        <f>IF(AD19=2,試算シミュレーション!H33-1955000,0)</f>
        <v>0</v>
      </c>
      <c r="AB19" s="31">
        <f>IF(試算シミュレーション!$H$33&gt;=A19,1,0)</f>
        <v>0</v>
      </c>
      <c r="AC19" s="31">
        <f>IF(試算シミュレーション!$H$33&gt;=D19,1,0)</f>
        <v>1</v>
      </c>
      <c r="AD19" s="31">
        <f t="shared" si="25"/>
        <v>1</v>
      </c>
      <c r="AE19" s="33" t="str">
        <f t="shared" si="26"/>
        <v/>
      </c>
      <c r="AF19" s="34">
        <f>IF(AI19=2,試算シミュレーション!H35-1955000,0)</f>
        <v>0</v>
      </c>
      <c r="AG19" s="31">
        <f>IF(試算シミュレーション!$H$35&gt;=A19,1,0)</f>
        <v>0</v>
      </c>
      <c r="AH19" s="31">
        <f>IF(試算シミュレーション!$H$35&gt;=D19,1,0)</f>
        <v>1</v>
      </c>
      <c r="AI19" s="31">
        <f t="shared" si="27"/>
        <v>1</v>
      </c>
      <c r="AJ19" s="33" t="str">
        <f t="shared" si="28"/>
        <v/>
      </c>
      <c r="AK19" s="34">
        <f>IF(AN19=2,試算シミュレーション!H37-1955000,0)</f>
        <v>0</v>
      </c>
      <c r="AL19" s="31">
        <f>IF(試算シミュレーション!$H$37&gt;=A19,1,0)</f>
        <v>0</v>
      </c>
      <c r="AM19" s="31">
        <f>IF(試算シミュレーション!$H$37&gt;=D19,1,0)</f>
        <v>1</v>
      </c>
      <c r="AN19" s="31">
        <f t="shared" si="29"/>
        <v>1</v>
      </c>
      <c r="AO19" s="33" t="str">
        <f t="shared" si="30"/>
        <v/>
      </c>
      <c r="AP19" s="34">
        <f>IF(AS19=2,試算シミュレーション!H48-1955000,0)</f>
        <v>0</v>
      </c>
      <c r="AQ19" s="31">
        <f>IF(試算シミュレーション!$H$48&gt;=A19,1,0)</f>
        <v>0</v>
      </c>
      <c r="AR19" s="31">
        <f>IF(試算シミュレーション!$H$48&gt;=D19,1,0)</f>
        <v>1</v>
      </c>
      <c r="AS19" s="31">
        <f t="shared" si="31"/>
        <v>1</v>
      </c>
    </row>
    <row r="20" spans="1:45">
      <c r="A20" s="14"/>
      <c r="B20" s="14"/>
      <c r="C20" s="14"/>
      <c r="D20" s="14"/>
      <c r="E20" s="14"/>
      <c r="F20" s="14"/>
      <c r="G20" s="35">
        <f>SUM(G14:G19)</f>
        <v>0</v>
      </c>
      <c r="H20" s="14"/>
      <c r="I20" s="14"/>
      <c r="J20" s="14"/>
      <c r="K20" s="14"/>
      <c r="L20" s="35">
        <f>SUM(L14:L19)</f>
        <v>0</v>
      </c>
      <c r="M20" s="14"/>
      <c r="N20" s="14"/>
      <c r="O20" s="14"/>
      <c r="P20" s="14"/>
      <c r="Q20" s="35">
        <f>SUM(Q14:Q19)</f>
        <v>0</v>
      </c>
      <c r="R20" s="14"/>
      <c r="S20" s="14"/>
      <c r="T20" s="14"/>
      <c r="U20" s="14"/>
      <c r="V20" s="35">
        <f>SUM(V14:V19)</f>
        <v>0</v>
      </c>
      <c r="W20" s="14"/>
      <c r="X20" s="14"/>
      <c r="Y20" s="14"/>
      <c r="Z20" s="14"/>
      <c r="AA20" s="35">
        <f>SUM(AA14:AA19)</f>
        <v>0</v>
      </c>
      <c r="AB20" s="14"/>
      <c r="AC20" s="14"/>
      <c r="AD20" s="14"/>
      <c r="AE20" s="14"/>
      <c r="AF20" s="35">
        <f>SUM(AF14:AF19)</f>
        <v>0</v>
      </c>
      <c r="AG20" s="14"/>
      <c r="AH20" s="14"/>
      <c r="AI20" s="14"/>
      <c r="AJ20" s="14"/>
      <c r="AK20" s="35">
        <f>SUM(AK14:AK19)</f>
        <v>0</v>
      </c>
      <c r="AL20" s="14"/>
      <c r="AM20" s="14"/>
      <c r="AN20" s="14"/>
      <c r="AO20" s="14"/>
      <c r="AP20" s="35">
        <f>SUM(AP14:AP19)</f>
        <v>0</v>
      </c>
      <c r="AQ20" s="14"/>
      <c r="AR20" s="14"/>
      <c r="AS20" s="14"/>
    </row>
  </sheetData>
  <mergeCells count="25">
    <mergeCell ref="A19:B19"/>
    <mergeCell ref="D14:E14"/>
    <mergeCell ref="D15:E15"/>
    <mergeCell ref="D16:E16"/>
    <mergeCell ref="D17:E17"/>
    <mergeCell ref="D18:E18"/>
    <mergeCell ref="D19:E19"/>
    <mergeCell ref="A14:B14"/>
    <mergeCell ref="A15:B15"/>
    <mergeCell ref="A16:B16"/>
    <mergeCell ref="A17:B17"/>
    <mergeCell ref="A18:B18"/>
    <mergeCell ref="F2:AN2"/>
    <mergeCell ref="A4:B4"/>
    <mergeCell ref="A5:B5"/>
    <mergeCell ref="A6:B6"/>
    <mergeCell ref="A7:B7"/>
    <mergeCell ref="A8:B8"/>
    <mergeCell ref="A9:B9"/>
    <mergeCell ref="D4:E4"/>
    <mergeCell ref="D5:E5"/>
    <mergeCell ref="D6:E6"/>
    <mergeCell ref="D7:E7"/>
    <mergeCell ref="D8:E8"/>
    <mergeCell ref="D9:E9"/>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G107"/>
  <sheetViews>
    <sheetView topLeftCell="A4" zoomScaleNormal="100" workbookViewId="0">
      <selection activeCell="AE105" sqref="AE105"/>
    </sheetView>
  </sheetViews>
  <sheetFormatPr defaultRowHeight="18.75"/>
  <cols>
    <col min="1" max="1" width="2.875" customWidth="1"/>
    <col min="2" max="2" width="2.875" style="1" customWidth="1"/>
    <col min="3" max="82" width="2.875" customWidth="1"/>
  </cols>
  <sheetData>
    <row r="1" spans="1:59">
      <c r="A1" s="1"/>
      <c r="C1" s="324" t="s">
        <v>98</v>
      </c>
      <c r="D1" s="324"/>
      <c r="E1" s="324"/>
      <c r="F1" s="324"/>
      <c r="G1" s="289" t="s">
        <v>99</v>
      </c>
      <c r="H1" s="290"/>
      <c r="I1" s="290"/>
      <c r="J1" s="291"/>
      <c r="K1" s="289" t="s">
        <v>100</v>
      </c>
      <c r="L1" s="290"/>
      <c r="M1" s="290"/>
      <c r="N1" s="291"/>
      <c r="O1" s="46" t="s">
        <v>101</v>
      </c>
      <c r="P1" s="336" t="s">
        <v>102</v>
      </c>
      <c r="Q1" s="336"/>
      <c r="R1" s="336"/>
      <c r="S1" s="353" t="s">
        <v>103</v>
      </c>
      <c r="T1" s="353"/>
      <c r="U1" s="77" t="s">
        <v>104</v>
      </c>
      <c r="V1" s="263" t="s">
        <v>105</v>
      </c>
      <c r="W1" s="263"/>
      <c r="X1" s="263"/>
      <c r="Y1" s="263"/>
      <c r="Z1" s="46" t="s">
        <v>101</v>
      </c>
      <c r="AA1" s="336" t="s">
        <v>102</v>
      </c>
      <c r="AB1" s="336"/>
      <c r="AC1" s="336"/>
      <c r="AD1" s="79" t="s">
        <v>172</v>
      </c>
      <c r="AE1" s="383" t="s">
        <v>179</v>
      </c>
      <c r="AF1" s="384"/>
      <c r="AG1" s="384"/>
      <c r="AH1" s="385"/>
      <c r="AI1" s="55"/>
      <c r="AJ1" s="55"/>
      <c r="AK1" s="55"/>
      <c r="AV1" s="69"/>
      <c r="AW1" s="69"/>
      <c r="AX1" s="69"/>
      <c r="AY1" s="69"/>
      <c r="AZ1" s="69"/>
      <c r="BA1" s="69"/>
      <c r="BB1" s="69"/>
      <c r="BC1" s="69"/>
      <c r="BD1" s="70"/>
      <c r="BE1" s="70"/>
      <c r="BF1" s="70"/>
      <c r="BG1" s="70"/>
    </row>
    <row r="2" spans="1:59" ht="17.25" customHeight="1">
      <c r="A2" s="251" t="s">
        <v>97</v>
      </c>
      <c r="B2" s="251"/>
      <c r="C2" s="339">
        <f>試算シミュレーション!E48+試算シミュレーション!G48+試算シミュレーション!I48+試算シミュレーション!J48</f>
        <v>0</v>
      </c>
      <c r="D2" s="239"/>
      <c r="E2" s="239"/>
      <c r="F2" s="340"/>
      <c r="G2" s="338">
        <f>試算シミュレーション!G48</f>
        <v>0</v>
      </c>
      <c r="H2" s="338"/>
      <c r="I2" s="338"/>
      <c r="J2" s="338"/>
      <c r="K2" s="352">
        <f>C2-G2+(IF(G2-150000&lt;0,0,G2-150000))</f>
        <v>0</v>
      </c>
      <c r="L2" s="352"/>
      <c r="M2" s="352"/>
      <c r="N2" s="352"/>
      <c r="O2" s="382"/>
      <c r="P2" s="346"/>
      <c r="Q2" s="347"/>
      <c r="R2" s="348"/>
      <c r="S2" s="345"/>
      <c r="T2" s="345"/>
      <c r="U2" s="359"/>
      <c r="V2" s="337"/>
      <c r="W2" s="337"/>
      <c r="X2" s="337"/>
      <c r="Y2" s="337"/>
      <c r="Z2" s="382"/>
      <c r="AA2" s="346"/>
      <c r="AB2" s="347"/>
      <c r="AC2" s="348"/>
      <c r="AD2" s="358"/>
      <c r="AE2" s="337"/>
      <c r="AF2" s="337"/>
      <c r="AG2" s="337"/>
      <c r="AH2" s="337"/>
      <c r="AI2" s="45"/>
      <c r="AJ2" s="45"/>
      <c r="AK2" s="45"/>
      <c r="AU2" s="68"/>
      <c r="AV2" s="45"/>
      <c r="AW2" s="45"/>
      <c r="AX2" s="45"/>
      <c r="AY2" s="45"/>
      <c r="AZ2" s="45"/>
      <c r="BA2" s="45"/>
      <c r="BB2" s="45"/>
      <c r="BC2" s="45"/>
      <c r="BD2" s="45"/>
      <c r="BE2" s="45"/>
      <c r="BF2" s="45"/>
      <c r="BG2" s="45"/>
    </row>
    <row r="3" spans="1:59" ht="17.25" customHeight="1">
      <c r="A3" s="251"/>
      <c r="B3" s="251"/>
      <c r="C3" s="341"/>
      <c r="D3" s="342"/>
      <c r="E3" s="342"/>
      <c r="F3" s="343"/>
      <c r="G3" s="338">
        <f>試算シミュレーション!I48</f>
        <v>0</v>
      </c>
      <c r="H3" s="338"/>
      <c r="I3" s="338"/>
      <c r="J3" s="338"/>
      <c r="K3" s="352">
        <f t="shared" ref="K3:K17" si="0">C3-G3+(IF(G3-150000&lt;0,0,G3-150000))</f>
        <v>0</v>
      </c>
      <c r="L3" s="352"/>
      <c r="M3" s="352"/>
      <c r="N3" s="352"/>
      <c r="O3" s="382"/>
      <c r="P3" s="349"/>
      <c r="Q3" s="350"/>
      <c r="R3" s="351"/>
      <c r="S3" s="345"/>
      <c r="T3" s="345"/>
      <c r="U3" s="359"/>
      <c r="V3" s="337"/>
      <c r="W3" s="337"/>
      <c r="X3" s="337"/>
      <c r="Y3" s="337"/>
      <c r="Z3" s="382"/>
      <c r="AA3" s="349"/>
      <c r="AB3" s="350"/>
      <c r="AC3" s="351"/>
      <c r="AD3" s="358"/>
      <c r="AE3" s="337"/>
      <c r="AF3" s="337"/>
      <c r="AG3" s="337"/>
      <c r="AH3" s="337"/>
      <c r="AI3" s="45"/>
      <c r="AJ3" s="45"/>
      <c r="AK3" s="45"/>
      <c r="AU3" s="68"/>
      <c r="AV3" s="45"/>
      <c r="AW3" s="45"/>
      <c r="AX3" s="45"/>
      <c r="AY3" s="45"/>
      <c r="AZ3" s="45"/>
      <c r="BA3" s="45"/>
      <c r="BB3" s="45"/>
      <c r="BC3" s="45"/>
      <c r="BD3" s="45"/>
      <c r="BE3" s="45"/>
      <c r="BF3" s="45"/>
      <c r="BG3" s="45"/>
    </row>
    <row r="4" spans="1:59" ht="17.25" customHeight="1" thickBot="1">
      <c r="A4" s="251">
        <v>1</v>
      </c>
      <c r="B4" s="251"/>
      <c r="C4" s="339">
        <f>試算シミュレーション!L25</f>
        <v>0</v>
      </c>
      <c r="D4" s="239"/>
      <c r="E4" s="239"/>
      <c r="F4" s="340"/>
      <c r="G4" s="338">
        <f>試算シミュレーション!G25</f>
        <v>0</v>
      </c>
      <c r="H4" s="338"/>
      <c r="I4" s="338"/>
      <c r="J4" s="338"/>
      <c r="K4" s="352">
        <f>C4-G4+(IF(G4-150000&lt;0,0,G4-150000))</f>
        <v>0</v>
      </c>
      <c r="L4" s="352"/>
      <c r="M4" s="352"/>
      <c r="N4" s="352"/>
      <c r="O4" s="242">
        <f t="shared" ref="O4:O16" si="1">IF(C4&gt;429999,1,0)</f>
        <v>0</v>
      </c>
      <c r="P4" s="338">
        <f t="shared" ref="P4:P17" si="2">IF(C4&lt;429999,C4,0)</f>
        <v>0</v>
      </c>
      <c r="Q4" s="338"/>
      <c r="R4" s="338"/>
      <c r="S4" s="344">
        <f>試算シミュレーション!C25</f>
        <v>0</v>
      </c>
      <c r="T4" s="344"/>
      <c r="U4" s="335">
        <f>IF(AND(39&lt;S4,S4&lt;65),1,0)</f>
        <v>0</v>
      </c>
      <c r="V4" s="338">
        <f>IF(U4=1,C4,0)</f>
        <v>0</v>
      </c>
      <c r="W4" s="338"/>
      <c r="X4" s="338"/>
      <c r="Y4" s="338"/>
      <c r="Z4" s="251">
        <f t="shared" ref="Z4:Z16" si="3">IF(V4&gt;429999,1,0)</f>
        <v>0</v>
      </c>
      <c r="AA4" s="338">
        <f>IF(V4&lt;429999,V4,0)</f>
        <v>0</v>
      </c>
      <c r="AB4" s="338"/>
      <c r="AC4" s="338"/>
      <c r="AD4" s="355">
        <f>IF(AND(0&lt;S4,S4&lt;5),1,0)</f>
        <v>0</v>
      </c>
      <c r="AE4" s="386">
        <f>試算シミュレーション!N25</f>
        <v>0</v>
      </c>
      <c r="AF4" s="387"/>
      <c r="AG4" s="387"/>
      <c r="AH4" s="388"/>
      <c r="AI4" s="356">
        <f>AE4*G60+AE4*O60</f>
        <v>0</v>
      </c>
      <c r="AJ4" s="357"/>
      <c r="AK4" s="357"/>
      <c r="AL4" s="357"/>
      <c r="AU4" s="68"/>
      <c r="AV4" s="45"/>
      <c r="AW4" s="45"/>
      <c r="AX4" s="45"/>
      <c r="AY4" s="45"/>
      <c r="AZ4" s="45"/>
      <c r="BA4" s="45"/>
      <c r="BB4" s="45"/>
      <c r="BC4" s="45"/>
      <c r="BD4" s="45"/>
      <c r="BE4" s="45"/>
      <c r="BF4" s="45"/>
      <c r="BG4" s="45"/>
    </row>
    <row r="5" spans="1:59" ht="17.25" customHeight="1">
      <c r="A5" s="251"/>
      <c r="B5" s="251"/>
      <c r="C5" s="341"/>
      <c r="D5" s="342"/>
      <c r="E5" s="342"/>
      <c r="F5" s="343"/>
      <c r="G5" s="338">
        <f>試算シミュレーション!I25</f>
        <v>0</v>
      </c>
      <c r="H5" s="338"/>
      <c r="I5" s="338"/>
      <c r="J5" s="338"/>
      <c r="K5" s="352">
        <f t="shared" si="0"/>
        <v>0</v>
      </c>
      <c r="L5" s="352"/>
      <c r="M5" s="352"/>
      <c r="N5" s="352"/>
      <c r="O5" s="242"/>
      <c r="P5" s="338">
        <f t="shared" si="2"/>
        <v>0</v>
      </c>
      <c r="Q5" s="338"/>
      <c r="R5" s="338"/>
      <c r="S5" s="344"/>
      <c r="T5" s="344"/>
      <c r="U5" s="335"/>
      <c r="V5" s="338"/>
      <c r="W5" s="338"/>
      <c r="X5" s="338"/>
      <c r="Y5" s="338"/>
      <c r="Z5" s="251"/>
      <c r="AA5" s="338"/>
      <c r="AB5" s="338"/>
      <c r="AC5" s="338"/>
      <c r="AD5" s="355"/>
      <c r="AE5" s="389"/>
      <c r="AF5" s="390"/>
      <c r="AG5" s="390"/>
      <c r="AH5" s="391"/>
      <c r="AI5" s="356">
        <f>V4*W60</f>
        <v>0</v>
      </c>
      <c r="AJ5" s="357"/>
      <c r="AK5" s="357"/>
      <c r="AL5" s="357"/>
      <c r="AU5" s="68"/>
      <c r="AV5" s="45"/>
      <c r="AW5" s="45"/>
      <c r="AX5" s="45"/>
      <c r="AY5" s="45"/>
      <c r="AZ5" s="45"/>
      <c r="BA5" s="45"/>
      <c r="BB5" s="45"/>
      <c r="BC5" s="45"/>
      <c r="BD5" s="45"/>
      <c r="BE5" s="45"/>
      <c r="BF5" s="45"/>
      <c r="BG5" s="45"/>
    </row>
    <row r="6" spans="1:59" ht="17.25" customHeight="1" thickBot="1">
      <c r="A6" s="251">
        <v>2</v>
      </c>
      <c r="B6" s="251"/>
      <c r="C6" s="339">
        <f>試算シミュレーション!L27</f>
        <v>0</v>
      </c>
      <c r="D6" s="239"/>
      <c r="E6" s="239"/>
      <c r="F6" s="340"/>
      <c r="G6" s="338">
        <f>試算シミュレーション!G27</f>
        <v>0</v>
      </c>
      <c r="H6" s="338"/>
      <c r="I6" s="338"/>
      <c r="J6" s="338"/>
      <c r="K6" s="352">
        <f>C6-G6+(IF(G6-150000&lt;0,0,G6-150000))</f>
        <v>0</v>
      </c>
      <c r="L6" s="352"/>
      <c r="M6" s="352"/>
      <c r="N6" s="352"/>
      <c r="O6" s="242">
        <f t="shared" si="1"/>
        <v>0</v>
      </c>
      <c r="P6" s="338">
        <f t="shared" si="2"/>
        <v>0</v>
      </c>
      <c r="Q6" s="338"/>
      <c r="R6" s="338"/>
      <c r="S6" s="344">
        <f>試算シミュレーション!C27</f>
        <v>0</v>
      </c>
      <c r="T6" s="344"/>
      <c r="U6" s="335">
        <f t="shared" ref="U6" si="4">IF(AND(39&lt;S6,S6&lt;65),1,0)</f>
        <v>0</v>
      </c>
      <c r="V6" s="338">
        <f>IF(U6=1,C6,0)</f>
        <v>0</v>
      </c>
      <c r="W6" s="338"/>
      <c r="X6" s="338"/>
      <c r="Y6" s="338"/>
      <c r="Z6" s="251">
        <f t="shared" si="3"/>
        <v>0</v>
      </c>
      <c r="AA6" s="338">
        <f t="shared" ref="AA6" si="5">IF(V6&lt;429999,V6,0)</f>
        <v>0</v>
      </c>
      <c r="AB6" s="338"/>
      <c r="AC6" s="338"/>
      <c r="AD6" s="355">
        <f>IF(AND(0&lt;S6,S6&lt;5),1,0)</f>
        <v>0</v>
      </c>
      <c r="AE6" s="386">
        <f>試算シミュレーション!N27</f>
        <v>0</v>
      </c>
      <c r="AF6" s="387"/>
      <c r="AG6" s="387"/>
      <c r="AH6" s="388"/>
      <c r="AI6" s="356">
        <f>AE6*G60+AE6*O60</f>
        <v>0</v>
      </c>
      <c r="AJ6" s="357"/>
      <c r="AK6" s="357"/>
      <c r="AL6" s="357"/>
      <c r="AU6" s="16"/>
      <c r="AV6" s="45"/>
      <c r="AW6" s="45"/>
      <c r="AX6" s="45"/>
      <c r="AY6" s="45"/>
      <c r="AZ6" s="45"/>
      <c r="BA6" s="45"/>
      <c r="BB6" s="45"/>
      <c r="BC6" s="45"/>
      <c r="BD6" s="45"/>
      <c r="BE6" s="45"/>
      <c r="BF6" s="45"/>
      <c r="BG6" s="45"/>
    </row>
    <row r="7" spans="1:59" ht="17.25" customHeight="1">
      <c r="A7" s="251"/>
      <c r="B7" s="251"/>
      <c r="C7" s="341"/>
      <c r="D7" s="342"/>
      <c r="E7" s="342"/>
      <c r="F7" s="343"/>
      <c r="G7" s="338">
        <f>試算シミュレーション!I27</f>
        <v>0</v>
      </c>
      <c r="H7" s="338"/>
      <c r="I7" s="338"/>
      <c r="J7" s="338"/>
      <c r="K7" s="352">
        <f t="shared" si="0"/>
        <v>0</v>
      </c>
      <c r="L7" s="352"/>
      <c r="M7" s="352"/>
      <c r="N7" s="352"/>
      <c r="O7" s="242"/>
      <c r="P7" s="338">
        <f t="shared" si="2"/>
        <v>0</v>
      </c>
      <c r="Q7" s="338"/>
      <c r="R7" s="338"/>
      <c r="S7" s="344"/>
      <c r="T7" s="344"/>
      <c r="U7" s="335"/>
      <c r="V7" s="338"/>
      <c r="W7" s="338"/>
      <c r="X7" s="338"/>
      <c r="Y7" s="338"/>
      <c r="Z7" s="251"/>
      <c r="AA7" s="338"/>
      <c r="AB7" s="338"/>
      <c r="AC7" s="338"/>
      <c r="AD7" s="355"/>
      <c r="AE7" s="389"/>
      <c r="AF7" s="390"/>
      <c r="AG7" s="390"/>
      <c r="AH7" s="391"/>
      <c r="AI7" s="45"/>
      <c r="AJ7" s="45"/>
      <c r="AK7" s="45"/>
      <c r="AU7" s="16"/>
      <c r="AV7" s="45"/>
      <c r="AW7" s="45"/>
      <c r="AX7" s="45"/>
      <c r="AY7" s="45"/>
      <c r="AZ7" s="45"/>
      <c r="BA7" s="45"/>
      <c r="BB7" s="45"/>
      <c r="BC7" s="45"/>
      <c r="BD7" s="45"/>
      <c r="BE7" s="45"/>
      <c r="BF7" s="45"/>
      <c r="BG7" s="45"/>
    </row>
    <row r="8" spans="1:59" ht="17.25" customHeight="1" thickBot="1">
      <c r="A8" s="251">
        <v>3</v>
      </c>
      <c r="B8" s="251"/>
      <c r="C8" s="339">
        <f>試算シミュレーション!L29</f>
        <v>0</v>
      </c>
      <c r="D8" s="239"/>
      <c r="E8" s="239"/>
      <c r="F8" s="340"/>
      <c r="G8" s="338">
        <f>試算シミュレーション!G29</f>
        <v>0</v>
      </c>
      <c r="H8" s="338"/>
      <c r="I8" s="338"/>
      <c r="J8" s="338"/>
      <c r="K8" s="352">
        <f t="shared" si="0"/>
        <v>0</v>
      </c>
      <c r="L8" s="352"/>
      <c r="M8" s="352"/>
      <c r="N8" s="352"/>
      <c r="O8" s="242">
        <f t="shared" si="1"/>
        <v>0</v>
      </c>
      <c r="P8" s="338">
        <f t="shared" si="2"/>
        <v>0</v>
      </c>
      <c r="Q8" s="338"/>
      <c r="R8" s="338"/>
      <c r="S8" s="344">
        <f>試算シミュレーション!C29</f>
        <v>0</v>
      </c>
      <c r="T8" s="344"/>
      <c r="U8" s="335">
        <f t="shared" ref="U8" si="6">IF(AND(39&lt;S8,S8&lt;65),1,0)</f>
        <v>0</v>
      </c>
      <c r="V8" s="339">
        <f>IF(U8=1,C8,0)</f>
        <v>0</v>
      </c>
      <c r="W8" s="239"/>
      <c r="X8" s="239"/>
      <c r="Y8" s="340"/>
      <c r="Z8" s="251">
        <f t="shared" si="3"/>
        <v>0</v>
      </c>
      <c r="AA8" s="338">
        <f t="shared" ref="AA8" si="7">IF(V8&lt;429999,V8,0)</f>
        <v>0</v>
      </c>
      <c r="AB8" s="338"/>
      <c r="AC8" s="338"/>
      <c r="AD8" s="355">
        <f>IF(AND(0&lt;S8,S8&lt;5),1,0)</f>
        <v>0</v>
      </c>
      <c r="AE8" s="386">
        <f>試算シミュレーション!N29</f>
        <v>0</v>
      </c>
      <c r="AF8" s="387"/>
      <c r="AG8" s="387"/>
      <c r="AH8" s="388"/>
      <c r="AI8" s="356">
        <f>AE8*G60+AE8*O60</f>
        <v>0</v>
      </c>
      <c r="AJ8" s="357"/>
      <c r="AK8" s="357"/>
      <c r="AL8" s="357"/>
      <c r="AV8" s="45"/>
      <c r="AW8" s="45"/>
      <c r="AX8" s="45"/>
      <c r="AY8" s="45"/>
      <c r="AZ8" s="45"/>
      <c r="BA8" s="45"/>
      <c r="BB8" s="45"/>
      <c r="BC8" s="45"/>
      <c r="BD8" s="45"/>
      <c r="BE8" s="45"/>
      <c r="BF8" s="45"/>
      <c r="BG8" s="45"/>
    </row>
    <row r="9" spans="1:59" ht="17.25" customHeight="1">
      <c r="A9" s="251"/>
      <c r="B9" s="251"/>
      <c r="C9" s="341"/>
      <c r="D9" s="342"/>
      <c r="E9" s="342"/>
      <c r="F9" s="343"/>
      <c r="G9" s="338">
        <f>試算シミュレーション!I29</f>
        <v>0</v>
      </c>
      <c r="H9" s="338"/>
      <c r="I9" s="338"/>
      <c r="J9" s="338"/>
      <c r="K9" s="352">
        <f t="shared" si="0"/>
        <v>0</v>
      </c>
      <c r="L9" s="352"/>
      <c r="M9" s="352"/>
      <c r="N9" s="352"/>
      <c r="O9" s="242"/>
      <c r="P9" s="338">
        <f t="shared" si="2"/>
        <v>0</v>
      </c>
      <c r="Q9" s="338"/>
      <c r="R9" s="338"/>
      <c r="S9" s="344"/>
      <c r="T9" s="344"/>
      <c r="U9" s="335"/>
      <c r="V9" s="341"/>
      <c r="W9" s="342"/>
      <c r="X9" s="342"/>
      <c r="Y9" s="343"/>
      <c r="Z9" s="251"/>
      <c r="AA9" s="338"/>
      <c r="AB9" s="338"/>
      <c r="AC9" s="338"/>
      <c r="AD9" s="355"/>
      <c r="AE9" s="389"/>
      <c r="AF9" s="390"/>
      <c r="AG9" s="390"/>
      <c r="AH9" s="391"/>
      <c r="AI9" s="45"/>
      <c r="AJ9" s="45"/>
      <c r="AK9" s="45"/>
      <c r="AV9" s="45"/>
      <c r="AW9" s="45"/>
      <c r="AX9" s="45"/>
      <c r="AY9" s="45"/>
      <c r="AZ9" s="45"/>
      <c r="BA9" s="45"/>
      <c r="BB9" s="45"/>
      <c r="BC9" s="45"/>
      <c r="BD9" s="45"/>
      <c r="BE9" s="45"/>
      <c r="BF9" s="45"/>
      <c r="BG9" s="45"/>
    </row>
    <row r="10" spans="1:59" ht="17.25" customHeight="1" thickBot="1">
      <c r="A10" s="251">
        <v>4</v>
      </c>
      <c r="B10" s="251"/>
      <c r="C10" s="339">
        <f>試算シミュレーション!L31</f>
        <v>0</v>
      </c>
      <c r="D10" s="239"/>
      <c r="E10" s="239"/>
      <c r="F10" s="340"/>
      <c r="G10" s="338">
        <f>試算シミュレーション!G31</f>
        <v>0</v>
      </c>
      <c r="H10" s="338"/>
      <c r="I10" s="338"/>
      <c r="J10" s="338"/>
      <c r="K10" s="352">
        <f t="shared" si="0"/>
        <v>0</v>
      </c>
      <c r="L10" s="352"/>
      <c r="M10" s="352"/>
      <c r="N10" s="352"/>
      <c r="O10" s="242">
        <f t="shared" si="1"/>
        <v>0</v>
      </c>
      <c r="P10" s="338">
        <f t="shared" si="2"/>
        <v>0</v>
      </c>
      <c r="Q10" s="338"/>
      <c r="R10" s="338"/>
      <c r="S10" s="344">
        <f>試算シミュレーション!C31</f>
        <v>0</v>
      </c>
      <c r="T10" s="344"/>
      <c r="U10" s="335">
        <f t="shared" ref="U10" si="8">IF(AND(39&lt;S10,S10&lt;65),1,0)</f>
        <v>0</v>
      </c>
      <c r="V10" s="339">
        <f>IF(U10=1,C10,0)</f>
        <v>0</v>
      </c>
      <c r="W10" s="239"/>
      <c r="X10" s="239"/>
      <c r="Y10" s="340"/>
      <c r="Z10" s="251">
        <f t="shared" si="3"/>
        <v>0</v>
      </c>
      <c r="AA10" s="338">
        <f t="shared" ref="AA10" si="9">IF(V10&lt;429999,V10,0)</f>
        <v>0</v>
      </c>
      <c r="AB10" s="338"/>
      <c r="AC10" s="338"/>
      <c r="AD10" s="355">
        <f>IF(AND(0&lt;S10,S10&lt;5),1,0)</f>
        <v>0</v>
      </c>
      <c r="AE10" s="386">
        <f>試算シミュレーション!N31</f>
        <v>0</v>
      </c>
      <c r="AF10" s="387"/>
      <c r="AG10" s="387"/>
      <c r="AH10" s="388"/>
      <c r="AI10" s="356">
        <f>AE10*G60+AE10*O60</f>
        <v>0</v>
      </c>
      <c r="AJ10" s="357"/>
      <c r="AK10" s="357"/>
      <c r="AL10" s="357"/>
      <c r="AV10" s="45"/>
      <c r="AW10" s="45"/>
      <c r="AX10" s="45"/>
      <c r="AY10" s="45"/>
      <c r="AZ10" s="45"/>
      <c r="BA10" s="45"/>
      <c r="BB10" s="45"/>
      <c r="BC10" s="45"/>
      <c r="BD10" s="45"/>
      <c r="BE10" s="45"/>
      <c r="BF10" s="45"/>
      <c r="BG10" s="45"/>
    </row>
    <row r="11" spans="1:59" ht="17.25" customHeight="1">
      <c r="A11" s="251"/>
      <c r="B11" s="251"/>
      <c r="C11" s="341"/>
      <c r="D11" s="342"/>
      <c r="E11" s="342"/>
      <c r="F11" s="343"/>
      <c r="G11" s="338">
        <f>試算シミュレーション!I31</f>
        <v>0</v>
      </c>
      <c r="H11" s="338"/>
      <c r="I11" s="338"/>
      <c r="J11" s="338"/>
      <c r="K11" s="352">
        <f t="shared" si="0"/>
        <v>0</v>
      </c>
      <c r="L11" s="352"/>
      <c r="M11" s="352"/>
      <c r="N11" s="352"/>
      <c r="O11" s="242"/>
      <c r="P11" s="338">
        <f t="shared" si="2"/>
        <v>0</v>
      </c>
      <c r="Q11" s="338"/>
      <c r="R11" s="338"/>
      <c r="S11" s="344"/>
      <c r="T11" s="344"/>
      <c r="U11" s="335"/>
      <c r="V11" s="341"/>
      <c r="W11" s="342"/>
      <c r="X11" s="342"/>
      <c r="Y11" s="343"/>
      <c r="Z11" s="251"/>
      <c r="AA11" s="338"/>
      <c r="AB11" s="338"/>
      <c r="AC11" s="338"/>
      <c r="AD11" s="355"/>
      <c r="AE11" s="389"/>
      <c r="AF11" s="390"/>
      <c r="AG11" s="390"/>
      <c r="AH11" s="391"/>
      <c r="AI11" s="45"/>
      <c r="AJ11" s="45"/>
      <c r="AK11" s="45"/>
      <c r="AV11" s="45"/>
      <c r="AW11" s="45"/>
      <c r="AX11" s="45"/>
      <c r="AY11" s="45"/>
      <c r="AZ11" s="45"/>
      <c r="BA11" s="45"/>
      <c r="BB11" s="45"/>
      <c r="BC11" s="45"/>
      <c r="BD11" s="45"/>
      <c r="BE11" s="45"/>
      <c r="BF11" s="45"/>
      <c r="BG11" s="45"/>
    </row>
    <row r="12" spans="1:59" ht="17.25" customHeight="1" thickBot="1">
      <c r="A12" s="251">
        <v>5</v>
      </c>
      <c r="B12" s="251"/>
      <c r="C12" s="354">
        <f>試算シミュレーション!L33</f>
        <v>0</v>
      </c>
      <c r="D12" s="354"/>
      <c r="E12" s="354"/>
      <c r="F12" s="354"/>
      <c r="G12" s="338">
        <f>試算シミュレーション!G33</f>
        <v>0</v>
      </c>
      <c r="H12" s="338"/>
      <c r="I12" s="338"/>
      <c r="J12" s="338"/>
      <c r="K12" s="352">
        <f t="shared" si="0"/>
        <v>0</v>
      </c>
      <c r="L12" s="352"/>
      <c r="M12" s="352"/>
      <c r="N12" s="352"/>
      <c r="O12" s="242">
        <f t="shared" si="1"/>
        <v>0</v>
      </c>
      <c r="P12" s="338">
        <f t="shared" si="2"/>
        <v>0</v>
      </c>
      <c r="Q12" s="338"/>
      <c r="R12" s="338"/>
      <c r="S12" s="344">
        <f>試算シミュレーション!C33</f>
        <v>0</v>
      </c>
      <c r="T12" s="344"/>
      <c r="U12" s="335">
        <f t="shared" ref="U12" si="10">IF(AND(39&lt;S12,S12&lt;65),1,0)</f>
        <v>0</v>
      </c>
      <c r="V12" s="339">
        <f>IF(U12=1,C12,0)</f>
        <v>0</v>
      </c>
      <c r="W12" s="239"/>
      <c r="X12" s="239"/>
      <c r="Y12" s="340"/>
      <c r="Z12" s="251">
        <f t="shared" si="3"/>
        <v>0</v>
      </c>
      <c r="AA12" s="338">
        <f t="shared" ref="AA12" si="11">IF(V12&lt;429999,V12,0)</f>
        <v>0</v>
      </c>
      <c r="AB12" s="338"/>
      <c r="AC12" s="338"/>
      <c r="AD12" s="355">
        <f>IF(AND(0&lt;S12,S12&lt;5),1,0)</f>
        <v>0</v>
      </c>
      <c r="AE12" s="386">
        <f>試算シミュレーション!N33</f>
        <v>0</v>
      </c>
      <c r="AF12" s="387"/>
      <c r="AG12" s="387"/>
      <c r="AH12" s="388"/>
      <c r="AI12" s="356">
        <f>AE12*G60+AE12*O60</f>
        <v>0</v>
      </c>
      <c r="AJ12" s="357"/>
      <c r="AK12" s="357"/>
      <c r="AL12" s="357"/>
      <c r="AV12" s="45"/>
      <c r="AW12" s="45"/>
      <c r="AX12" s="45"/>
      <c r="AY12" s="45"/>
      <c r="AZ12" s="45"/>
      <c r="BA12" s="45"/>
      <c r="BB12" s="45"/>
      <c r="BC12" s="45"/>
      <c r="BD12" s="45"/>
      <c r="BE12" s="45"/>
      <c r="BF12" s="45"/>
      <c r="BG12" s="45"/>
    </row>
    <row r="13" spans="1:59" ht="17.25" customHeight="1">
      <c r="A13" s="251"/>
      <c r="B13" s="251"/>
      <c r="C13" s="354"/>
      <c r="D13" s="354"/>
      <c r="E13" s="354"/>
      <c r="F13" s="354"/>
      <c r="G13" s="338">
        <f>試算シミュレーション!I33</f>
        <v>0</v>
      </c>
      <c r="H13" s="338"/>
      <c r="I13" s="338"/>
      <c r="J13" s="338"/>
      <c r="K13" s="352">
        <f t="shared" si="0"/>
        <v>0</v>
      </c>
      <c r="L13" s="352"/>
      <c r="M13" s="352"/>
      <c r="N13" s="352"/>
      <c r="O13" s="242"/>
      <c r="P13" s="338">
        <f t="shared" si="2"/>
        <v>0</v>
      </c>
      <c r="Q13" s="338"/>
      <c r="R13" s="338"/>
      <c r="S13" s="344"/>
      <c r="T13" s="344"/>
      <c r="U13" s="335"/>
      <c r="V13" s="341"/>
      <c r="W13" s="342"/>
      <c r="X13" s="342"/>
      <c r="Y13" s="343"/>
      <c r="Z13" s="251"/>
      <c r="AA13" s="338"/>
      <c r="AB13" s="338"/>
      <c r="AC13" s="338"/>
      <c r="AD13" s="355"/>
      <c r="AE13" s="389"/>
      <c r="AF13" s="390"/>
      <c r="AG13" s="390"/>
      <c r="AH13" s="391"/>
      <c r="AI13" s="45"/>
      <c r="AJ13" s="45"/>
      <c r="AK13" s="45"/>
      <c r="AV13" s="45"/>
      <c r="AW13" s="45"/>
      <c r="AX13" s="45"/>
      <c r="AY13" s="45"/>
      <c r="AZ13" s="45"/>
      <c r="BA13" s="45"/>
      <c r="BB13" s="45"/>
      <c r="BC13" s="45"/>
      <c r="BD13" s="45"/>
      <c r="BE13" s="45"/>
      <c r="BF13" s="45"/>
      <c r="BG13" s="45"/>
    </row>
    <row r="14" spans="1:59" ht="17.25" customHeight="1" thickBot="1">
      <c r="A14" s="251">
        <v>6</v>
      </c>
      <c r="B14" s="251"/>
      <c r="C14" s="354">
        <f>試算シミュレーション!L35</f>
        <v>0</v>
      </c>
      <c r="D14" s="354"/>
      <c r="E14" s="354"/>
      <c r="F14" s="354"/>
      <c r="G14" s="338">
        <f>試算シミュレーション!G35</f>
        <v>0</v>
      </c>
      <c r="H14" s="338"/>
      <c r="I14" s="338"/>
      <c r="J14" s="338"/>
      <c r="K14" s="352">
        <f t="shared" si="0"/>
        <v>0</v>
      </c>
      <c r="L14" s="352"/>
      <c r="M14" s="352"/>
      <c r="N14" s="352"/>
      <c r="O14" s="242">
        <f t="shared" si="1"/>
        <v>0</v>
      </c>
      <c r="P14" s="338">
        <f t="shared" si="2"/>
        <v>0</v>
      </c>
      <c r="Q14" s="338"/>
      <c r="R14" s="338"/>
      <c r="S14" s="344">
        <f>試算シミュレーション!C35</f>
        <v>0</v>
      </c>
      <c r="T14" s="344"/>
      <c r="U14" s="335">
        <f t="shared" ref="U14" si="12">IF(AND(39&lt;S14,S14&lt;65),1,0)</f>
        <v>0</v>
      </c>
      <c r="V14" s="339">
        <f>IF(U14=1,C14,0)</f>
        <v>0</v>
      </c>
      <c r="W14" s="239"/>
      <c r="X14" s="239"/>
      <c r="Y14" s="340"/>
      <c r="Z14" s="251">
        <f t="shared" si="3"/>
        <v>0</v>
      </c>
      <c r="AA14" s="338">
        <f t="shared" ref="AA14" si="13">IF(V14&lt;429999,V14,0)</f>
        <v>0</v>
      </c>
      <c r="AB14" s="338"/>
      <c r="AC14" s="338"/>
      <c r="AD14" s="355">
        <f>IF(AND(0&lt;S14,S14&lt;5),1,0)</f>
        <v>0</v>
      </c>
      <c r="AE14" s="386">
        <f>試算シミュレーション!N35</f>
        <v>0</v>
      </c>
      <c r="AF14" s="387"/>
      <c r="AG14" s="387"/>
      <c r="AH14" s="388"/>
      <c r="AI14" s="356">
        <f>AE14*G60+AE14*O60</f>
        <v>0</v>
      </c>
      <c r="AJ14" s="357"/>
      <c r="AK14" s="357"/>
      <c r="AL14" s="357"/>
      <c r="AV14" s="45"/>
      <c r="AW14" s="45"/>
      <c r="AX14" s="45"/>
      <c r="AY14" s="45"/>
      <c r="AZ14" s="45"/>
      <c r="BA14" s="45"/>
      <c r="BB14" s="45"/>
      <c r="BC14" s="45"/>
      <c r="BD14" s="45"/>
      <c r="BE14" s="45"/>
      <c r="BF14" s="45"/>
      <c r="BG14" s="45"/>
    </row>
    <row r="15" spans="1:59" ht="17.25" customHeight="1">
      <c r="A15" s="251"/>
      <c r="B15" s="251"/>
      <c r="C15" s="354"/>
      <c r="D15" s="354"/>
      <c r="E15" s="354"/>
      <c r="F15" s="354"/>
      <c r="G15" s="338">
        <f>試算シミュレーション!I35</f>
        <v>0</v>
      </c>
      <c r="H15" s="338"/>
      <c r="I15" s="338"/>
      <c r="J15" s="338"/>
      <c r="K15" s="352">
        <f t="shared" si="0"/>
        <v>0</v>
      </c>
      <c r="L15" s="352"/>
      <c r="M15" s="352"/>
      <c r="N15" s="352"/>
      <c r="O15" s="242"/>
      <c r="P15" s="338">
        <f t="shared" si="2"/>
        <v>0</v>
      </c>
      <c r="Q15" s="338"/>
      <c r="R15" s="338"/>
      <c r="S15" s="344"/>
      <c r="T15" s="344"/>
      <c r="U15" s="335"/>
      <c r="V15" s="341"/>
      <c r="W15" s="342"/>
      <c r="X15" s="342"/>
      <c r="Y15" s="343"/>
      <c r="Z15" s="251"/>
      <c r="AA15" s="338"/>
      <c r="AB15" s="338"/>
      <c r="AC15" s="338"/>
      <c r="AD15" s="355"/>
      <c r="AE15" s="389"/>
      <c r="AF15" s="390"/>
      <c r="AG15" s="390"/>
      <c r="AH15" s="391"/>
      <c r="AI15" s="45"/>
      <c r="AJ15" s="45"/>
      <c r="AK15" s="45"/>
      <c r="AV15" s="45"/>
      <c r="AW15" s="45"/>
      <c r="AX15" s="45"/>
      <c r="AY15" s="45"/>
      <c r="AZ15" s="45"/>
      <c r="BA15" s="45"/>
      <c r="BB15" s="45"/>
      <c r="BC15" s="45"/>
      <c r="BD15" s="45"/>
      <c r="BE15" s="45"/>
      <c r="BF15" s="45"/>
      <c r="BG15" s="45"/>
    </row>
    <row r="16" spans="1:59" ht="17.25" customHeight="1">
      <c r="A16" s="251">
        <v>7</v>
      </c>
      <c r="B16" s="251"/>
      <c r="C16" s="354">
        <f>試算シミュレーション!L37</f>
        <v>0</v>
      </c>
      <c r="D16" s="354"/>
      <c r="E16" s="354"/>
      <c r="F16" s="354"/>
      <c r="G16" s="338">
        <f>試算シミュレーション!G37</f>
        <v>0</v>
      </c>
      <c r="H16" s="338"/>
      <c r="I16" s="338"/>
      <c r="J16" s="338"/>
      <c r="K16" s="352">
        <f t="shared" si="0"/>
        <v>0</v>
      </c>
      <c r="L16" s="352"/>
      <c r="M16" s="352"/>
      <c r="N16" s="352"/>
      <c r="O16" s="242">
        <f t="shared" si="1"/>
        <v>0</v>
      </c>
      <c r="P16" s="338">
        <f t="shared" si="2"/>
        <v>0</v>
      </c>
      <c r="Q16" s="338"/>
      <c r="R16" s="338"/>
      <c r="S16" s="344">
        <f>試算シミュレーション!C37</f>
        <v>0</v>
      </c>
      <c r="T16" s="344"/>
      <c r="U16" s="335">
        <f t="shared" ref="U16" si="14">IF(AND(39&lt;S16,S16&lt;65),1,0)</f>
        <v>0</v>
      </c>
      <c r="V16" s="339">
        <f>IF(U16=1,C16,0)</f>
        <v>0</v>
      </c>
      <c r="W16" s="239"/>
      <c r="X16" s="239"/>
      <c r="Y16" s="340"/>
      <c r="Z16" s="251">
        <f t="shared" si="3"/>
        <v>0</v>
      </c>
      <c r="AA16" s="338">
        <f t="shared" ref="AA16" si="15">IF(V16&lt;429999,V16,0)</f>
        <v>0</v>
      </c>
      <c r="AB16" s="338"/>
      <c r="AC16" s="338"/>
      <c r="AD16" s="355">
        <f>IF(AND(0&lt;S16,S16&lt;5),1,0)</f>
        <v>0</v>
      </c>
      <c r="AE16" s="339">
        <f>試算シミュレーション!N37</f>
        <v>0</v>
      </c>
      <c r="AF16" s="239"/>
      <c r="AG16" s="239"/>
      <c r="AH16" s="340"/>
      <c r="AI16" s="356">
        <f>AE16*G60+AE16*O60</f>
        <v>0</v>
      </c>
      <c r="AJ16" s="357"/>
      <c r="AK16" s="357"/>
      <c r="AL16" s="357"/>
      <c r="AV16" s="45"/>
      <c r="AW16" s="45"/>
      <c r="AX16" s="45"/>
      <c r="AY16" s="45"/>
      <c r="AZ16" s="45"/>
      <c r="BA16" s="45"/>
      <c r="BB16" s="45"/>
      <c r="BC16" s="45"/>
      <c r="BD16" s="45"/>
      <c r="BE16" s="45"/>
      <c r="BF16" s="45"/>
      <c r="BG16" s="45"/>
    </row>
    <row r="17" spans="1:51" ht="17.25" customHeight="1">
      <c r="A17" s="251"/>
      <c r="B17" s="251"/>
      <c r="C17" s="354"/>
      <c r="D17" s="354"/>
      <c r="E17" s="354"/>
      <c r="F17" s="354"/>
      <c r="G17" s="338">
        <f>試算シミュレーション!I37</f>
        <v>0</v>
      </c>
      <c r="H17" s="338"/>
      <c r="I17" s="338"/>
      <c r="J17" s="338"/>
      <c r="K17" s="352">
        <f t="shared" si="0"/>
        <v>0</v>
      </c>
      <c r="L17" s="352"/>
      <c r="M17" s="352"/>
      <c r="N17" s="352"/>
      <c r="O17" s="242"/>
      <c r="P17" s="338">
        <f t="shared" si="2"/>
        <v>0</v>
      </c>
      <c r="Q17" s="338"/>
      <c r="R17" s="338"/>
      <c r="S17" s="344"/>
      <c r="T17" s="344"/>
      <c r="U17" s="335"/>
      <c r="V17" s="341"/>
      <c r="W17" s="342"/>
      <c r="X17" s="342"/>
      <c r="Y17" s="343"/>
      <c r="Z17" s="251"/>
      <c r="AA17" s="338"/>
      <c r="AB17" s="338"/>
      <c r="AC17" s="338"/>
      <c r="AD17" s="355"/>
      <c r="AE17" s="341"/>
      <c r="AF17" s="342"/>
      <c r="AG17" s="342"/>
      <c r="AH17" s="343"/>
    </row>
    <row r="18" spans="1:51">
      <c r="C18" s="239">
        <f>SUM(C4:F17)</f>
        <v>0</v>
      </c>
      <c r="D18" s="239"/>
      <c r="E18" s="239"/>
      <c r="F18" s="239"/>
      <c r="G18" s="239">
        <f>SUM(G4:J17)</f>
        <v>0</v>
      </c>
      <c r="H18" s="239"/>
      <c r="I18" s="239"/>
      <c r="J18" s="239"/>
      <c r="K18" s="239">
        <f>SUM(K2:N17)</f>
        <v>0</v>
      </c>
      <c r="L18" s="239"/>
      <c r="M18" s="239"/>
      <c r="N18" s="239"/>
      <c r="V18" s="239">
        <f>SUM(V4:Y17)</f>
        <v>0</v>
      </c>
      <c r="W18" s="239"/>
      <c r="X18" s="239"/>
      <c r="Y18" s="239"/>
      <c r="Z18" s="373">
        <f>SUM(Z4:Z17)*430000+SUM(AA4:AC17)</f>
        <v>0</v>
      </c>
      <c r="AA18" s="373"/>
      <c r="AB18" s="373"/>
      <c r="AC18" s="373"/>
      <c r="AD18" s="74"/>
    </row>
    <row r="19" spans="1:51" ht="19.5" thickBot="1">
      <c r="K19" s="65"/>
      <c r="L19" s="65"/>
      <c r="M19" s="65"/>
      <c r="N19" s="65"/>
    </row>
    <row r="20" spans="1:51" ht="20.25" thickTop="1" thickBot="1">
      <c r="A20" s="370" t="s">
        <v>81</v>
      </c>
      <c r="B20" s="371"/>
      <c r="C20" s="371"/>
      <c r="D20" s="371"/>
      <c r="E20" s="371"/>
      <c r="F20" s="371"/>
      <c r="G20" s="372"/>
      <c r="H20" s="38"/>
      <c r="I20" s="38"/>
      <c r="J20" s="38"/>
      <c r="K20" s="38"/>
      <c r="L20" s="38"/>
      <c r="M20" s="38"/>
      <c r="N20" s="38"/>
      <c r="O20" s="38"/>
      <c r="P20" s="38"/>
      <c r="Q20" s="38"/>
      <c r="R20" s="38"/>
      <c r="S20" s="38"/>
      <c r="T20" s="38"/>
      <c r="U20" s="38"/>
      <c r="V20" s="38"/>
      <c r="W20" s="38"/>
      <c r="X20" s="38"/>
      <c r="Y20" s="38"/>
      <c r="Z20" s="38"/>
      <c r="AA20" s="38"/>
      <c r="AB20" s="38"/>
      <c r="AC20" s="38"/>
      <c r="AD20" s="38"/>
      <c r="AE20" s="38"/>
    </row>
    <row r="21" spans="1:51" ht="19.5" thickTop="1">
      <c r="A21" s="39"/>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row>
    <row r="22" spans="1:51">
      <c r="A22" s="242" t="s">
        <v>82</v>
      </c>
      <c r="B22" s="242"/>
      <c r="C22" s="242"/>
      <c r="D22" s="242"/>
      <c r="E22" s="242"/>
      <c r="F22" s="242"/>
      <c r="G22" s="242"/>
      <c r="H22" s="38"/>
      <c r="I22" s="38"/>
      <c r="J22" s="374"/>
      <c r="K22" s="375"/>
      <c r="L22" s="376"/>
      <c r="M22" s="38" t="s">
        <v>83</v>
      </c>
      <c r="N22" s="38"/>
      <c r="O22" s="38"/>
      <c r="P22" s="38"/>
      <c r="Q22" s="38"/>
      <c r="R22" s="38"/>
      <c r="S22" s="38"/>
      <c r="T22" s="242" t="s">
        <v>84</v>
      </c>
      <c r="U22" s="242"/>
      <c r="V22" s="242"/>
      <c r="W22" s="242"/>
      <c r="X22" s="242"/>
      <c r="Y22" s="242"/>
      <c r="Z22" s="38"/>
      <c r="AA22" s="38"/>
      <c r="AB22" s="38"/>
      <c r="AC22" s="38"/>
      <c r="AD22" s="38"/>
      <c r="AE22" s="38"/>
    </row>
    <row r="23" spans="1:51">
      <c r="A23" s="377">
        <f>K18</f>
        <v>0</v>
      </c>
      <c r="B23" s="377"/>
      <c r="C23" s="377"/>
      <c r="D23" s="377"/>
      <c r="E23" s="377"/>
      <c r="F23" s="378"/>
      <c r="G23" s="40" t="s">
        <v>85</v>
      </c>
      <c r="H23" s="41"/>
      <c r="I23" s="38"/>
      <c r="J23" s="38"/>
      <c r="K23" s="38"/>
      <c r="L23" s="38"/>
      <c r="M23" s="38"/>
      <c r="N23" s="38"/>
      <c r="O23" s="38"/>
      <c r="P23" s="38"/>
      <c r="Q23" s="38"/>
      <c r="R23" s="38"/>
      <c r="S23" s="38"/>
      <c r="T23" s="379" t="str">
        <f>IF(A23-(430000+(100000*(I26-1)))&gt;0,"軽減不可","軽減可能")</f>
        <v>軽減可能</v>
      </c>
      <c r="U23" s="380"/>
      <c r="V23" s="380"/>
      <c r="W23" s="380"/>
      <c r="X23" s="380"/>
      <c r="Y23" s="381"/>
      <c r="Z23" s="38"/>
      <c r="AA23" s="38"/>
      <c r="AB23" s="38"/>
      <c r="AC23" s="38">
        <f>IF(T23="軽減不可",0,2)</f>
        <v>2</v>
      </c>
      <c r="AD23" s="38"/>
      <c r="AE23" s="38"/>
    </row>
    <row r="24" spans="1:51">
      <c r="A24" s="42" t="s">
        <v>86</v>
      </c>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row>
    <row r="25" spans="1:51">
      <c r="A25" s="38"/>
      <c r="B25" s="38"/>
      <c r="C25" s="38"/>
      <c r="D25" s="38"/>
      <c r="E25" s="38"/>
      <c r="F25" s="38"/>
      <c r="G25" s="38"/>
      <c r="H25" s="38"/>
      <c r="I25" s="332" t="s">
        <v>229</v>
      </c>
      <c r="J25" s="333"/>
      <c r="K25" s="333"/>
      <c r="L25" s="392"/>
      <c r="M25" s="38"/>
      <c r="N25" s="38"/>
      <c r="O25" s="38"/>
      <c r="P25" s="38"/>
      <c r="Q25" s="38"/>
      <c r="R25" s="38"/>
      <c r="S25" s="38"/>
      <c r="T25" s="242" t="s">
        <v>88</v>
      </c>
      <c r="U25" s="242"/>
      <c r="V25" s="242"/>
      <c r="W25" s="242"/>
      <c r="X25" s="242"/>
      <c r="Y25" s="242"/>
      <c r="Z25" s="38"/>
      <c r="AA25" s="38"/>
      <c r="AB25" s="38"/>
      <c r="AC25" s="38"/>
      <c r="AD25" s="38"/>
      <c r="AE25" s="38"/>
    </row>
    <row r="26" spans="1:51">
      <c r="A26" s="38"/>
      <c r="B26" s="38"/>
      <c r="C26" s="38"/>
      <c r="D26" s="38"/>
      <c r="E26" s="38"/>
      <c r="F26" s="38"/>
      <c r="G26" s="38"/>
      <c r="H26" s="38"/>
      <c r="I26" s="362">
        <f>COUNTIF(K2:N17,"&gt;1")</f>
        <v>0</v>
      </c>
      <c r="J26" s="363"/>
      <c r="K26" s="363"/>
      <c r="L26" s="40" t="s">
        <v>89</v>
      </c>
      <c r="M26" s="41"/>
      <c r="N26" s="364">
        <v>305000</v>
      </c>
      <c r="O26" s="365"/>
      <c r="P26" s="365"/>
      <c r="Q26" s="365"/>
      <c r="R26" s="43" t="s">
        <v>85</v>
      </c>
      <c r="S26" s="41"/>
      <c r="T26" s="366" t="str">
        <f>IF(A23-(430000+(I29*N26)+(100000*(I26-1)))&gt;0,"軽減不可","軽減可能")</f>
        <v>軽減可能</v>
      </c>
      <c r="U26" s="367"/>
      <c r="V26" s="367"/>
      <c r="W26" s="367"/>
      <c r="X26" s="367"/>
      <c r="Y26" s="368"/>
      <c r="Z26" s="38"/>
      <c r="AA26" s="38"/>
      <c r="AB26" s="38"/>
      <c r="AC26" s="38">
        <f>IF(T26="軽減不可",0,3)</f>
        <v>3</v>
      </c>
      <c r="AD26" s="38"/>
      <c r="AE26" s="38"/>
    </row>
    <row r="27" spans="1:51">
      <c r="A27" s="38"/>
      <c r="B27" s="38"/>
      <c r="C27" s="38"/>
      <c r="D27" s="38"/>
      <c r="E27" s="38"/>
      <c r="F27" s="38"/>
      <c r="G27" s="38"/>
      <c r="H27" s="38"/>
      <c r="I27" s="44" t="s">
        <v>91</v>
      </c>
      <c r="J27" s="38"/>
      <c r="K27" s="38"/>
      <c r="L27" s="38"/>
      <c r="M27" s="38"/>
      <c r="N27" s="38"/>
      <c r="O27" s="38"/>
      <c r="P27" s="38"/>
      <c r="Q27" s="38"/>
      <c r="R27" s="38"/>
      <c r="S27" s="38"/>
      <c r="T27" s="38"/>
      <c r="U27" s="38"/>
      <c r="V27" s="38"/>
      <c r="W27" s="38"/>
      <c r="X27" s="38"/>
      <c r="Y27" s="38"/>
      <c r="Z27" s="38"/>
      <c r="AA27" s="38"/>
      <c r="AB27" s="38"/>
      <c r="AC27" s="38"/>
      <c r="AD27" s="38"/>
      <c r="AE27" s="38"/>
    </row>
    <row r="28" spans="1:51">
      <c r="A28" s="38"/>
      <c r="B28" s="38"/>
      <c r="C28" s="393" t="s">
        <v>92</v>
      </c>
      <c r="D28" s="394"/>
      <c r="E28" s="394"/>
      <c r="F28" s="395"/>
      <c r="G28" s="38"/>
      <c r="H28" s="38"/>
      <c r="I28" s="332" t="s">
        <v>87</v>
      </c>
      <c r="J28" s="333"/>
      <c r="K28" s="333"/>
      <c r="L28" s="392"/>
      <c r="M28" s="38"/>
      <c r="N28" s="38"/>
      <c r="O28" s="38"/>
      <c r="P28" s="38"/>
      <c r="Q28" s="38"/>
      <c r="R28" s="38"/>
      <c r="S28" s="38"/>
      <c r="T28" s="242" t="s">
        <v>93</v>
      </c>
      <c r="U28" s="242"/>
      <c r="V28" s="242"/>
      <c r="W28" s="242"/>
      <c r="X28" s="242"/>
      <c r="Y28" s="242"/>
      <c r="Z28" s="38"/>
      <c r="AA28" s="38"/>
      <c r="AB28" s="38"/>
      <c r="AC28" s="38"/>
      <c r="AD28" s="38"/>
      <c r="AE28" s="38"/>
    </row>
    <row r="29" spans="1:51">
      <c r="A29" s="38"/>
      <c r="B29" s="38"/>
      <c r="C29" s="360">
        <f>SUM(U4:U17)</f>
        <v>0</v>
      </c>
      <c r="D29" s="361"/>
      <c r="E29" s="361"/>
      <c r="F29" s="78" t="s">
        <v>94</v>
      </c>
      <c r="G29" s="38"/>
      <c r="H29" s="38"/>
      <c r="I29" s="362">
        <f>COUNT(試算シミュレーション!C25:C38)</f>
        <v>0</v>
      </c>
      <c r="J29" s="363"/>
      <c r="K29" s="363"/>
      <c r="L29" s="40" t="s">
        <v>89</v>
      </c>
      <c r="M29" s="38"/>
      <c r="N29" s="364">
        <v>560000</v>
      </c>
      <c r="O29" s="365"/>
      <c r="P29" s="365"/>
      <c r="Q29" s="365"/>
      <c r="R29" s="43" t="s">
        <v>85</v>
      </c>
      <c r="S29" s="38"/>
      <c r="T29" s="366" t="str">
        <f>IF(A23-(430000+(I29*N29)+(100000*(I26-1)))&gt;0,"軽減不可","軽減可能")</f>
        <v>軽減可能</v>
      </c>
      <c r="U29" s="367"/>
      <c r="V29" s="367"/>
      <c r="W29" s="367"/>
      <c r="X29" s="367"/>
      <c r="Y29" s="368"/>
      <c r="Z29" s="38"/>
      <c r="AA29" s="38"/>
      <c r="AB29" s="38"/>
      <c r="AC29" s="38">
        <f>IF(T29="軽減不可",0,2)</f>
        <v>2</v>
      </c>
      <c r="AD29" s="38"/>
      <c r="AE29" s="38"/>
    </row>
    <row r="30" spans="1:51">
      <c r="A30" s="38"/>
      <c r="B30" s="38"/>
      <c r="C30" s="38"/>
      <c r="D30" s="38"/>
      <c r="E30" s="38"/>
      <c r="F30" s="38"/>
      <c r="G30" s="38"/>
      <c r="H30" s="38"/>
      <c r="I30" s="42" t="s">
        <v>91</v>
      </c>
      <c r="J30" s="38"/>
      <c r="K30" s="38"/>
      <c r="L30" s="38"/>
      <c r="M30" s="38"/>
      <c r="N30" s="38"/>
      <c r="O30" s="38"/>
      <c r="P30" s="38"/>
      <c r="Q30" s="38"/>
      <c r="R30" s="38"/>
      <c r="S30" s="38"/>
      <c r="T30" s="38"/>
      <c r="U30" s="38"/>
      <c r="V30" s="38"/>
      <c r="W30" s="38"/>
      <c r="X30" s="38"/>
      <c r="Y30" s="38"/>
      <c r="Z30" s="38"/>
      <c r="AA30" s="38"/>
      <c r="AB30" s="38"/>
      <c r="AC30" s="38"/>
      <c r="AD30" s="38"/>
      <c r="AE30" s="38"/>
    </row>
    <row r="31" spans="1:5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row>
    <row r="32" spans="1:51">
      <c r="A32" s="332" t="s">
        <v>106</v>
      </c>
      <c r="B32" s="333"/>
      <c r="C32" s="333"/>
      <c r="D32" s="333"/>
      <c r="E32" s="333"/>
      <c r="F32" s="333"/>
      <c r="G32" s="333"/>
      <c r="H32" s="333"/>
      <c r="I32" s="333"/>
      <c r="J32" s="333"/>
      <c r="K32" s="333"/>
      <c r="L32" s="333"/>
      <c r="M32" s="334">
        <f>SUM(AC23,AC26,AC29)</f>
        <v>7</v>
      </c>
      <c r="N32" s="244"/>
      <c r="O32" s="244"/>
      <c r="P32" s="244" t="s">
        <v>107</v>
      </c>
      <c r="Q32" s="245"/>
      <c r="R32" s="246" t="s">
        <v>108</v>
      </c>
      <c r="S32" s="247"/>
      <c r="T32" s="247"/>
      <c r="U32" s="247"/>
      <c r="V32" s="247"/>
      <c r="W32" s="247"/>
      <c r="X32" s="247"/>
      <c r="Y32" s="247"/>
      <c r="Z32" s="247"/>
      <c r="AA32" s="247"/>
      <c r="AB32" s="247"/>
      <c r="AC32" s="247"/>
      <c r="AD32" s="247"/>
      <c r="AE32" s="247"/>
      <c r="AF32" s="247"/>
      <c r="AG32" s="247"/>
      <c r="AH32" s="247"/>
      <c r="AI32" s="38"/>
      <c r="AJ32" s="318"/>
      <c r="AK32" s="318"/>
      <c r="AL32" s="47"/>
      <c r="AM32" s="47"/>
      <c r="AN32" s="47"/>
      <c r="AO32" s="47"/>
      <c r="AP32" s="47"/>
      <c r="AQ32" s="47"/>
      <c r="AR32" s="38"/>
      <c r="AS32" s="47"/>
      <c r="AT32" s="48"/>
      <c r="AU32" s="48"/>
      <c r="AV32" s="48"/>
      <c r="AW32" s="319" t="s">
        <v>109</v>
      </c>
      <c r="AX32" s="319"/>
      <c r="AY32" s="319"/>
    </row>
    <row r="33" spans="1:51" ht="19.5" thickBot="1">
      <c r="A33" s="49"/>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50"/>
      <c r="AJ33" s="50"/>
      <c r="AK33" s="48"/>
      <c r="AL33" s="48"/>
      <c r="AM33" s="48"/>
      <c r="AN33" s="48"/>
      <c r="AO33" s="48"/>
      <c r="AP33" s="48"/>
      <c r="AQ33" s="48"/>
      <c r="AR33" s="48"/>
      <c r="AS33" s="48"/>
      <c r="AT33" s="48"/>
      <c r="AU33" s="48"/>
      <c r="AV33" s="48"/>
      <c r="AW33" s="320"/>
      <c r="AX33" s="320"/>
      <c r="AY33" s="320"/>
    </row>
    <row r="34" spans="1:51">
      <c r="A34" s="321" t="s">
        <v>110</v>
      </c>
      <c r="B34" s="322"/>
      <c r="C34" s="322"/>
      <c r="D34" s="322"/>
      <c r="E34" s="322"/>
      <c r="F34" s="322"/>
      <c r="G34" s="322"/>
      <c r="H34" s="322"/>
      <c r="I34" s="322"/>
      <c r="J34" s="322"/>
      <c r="K34" s="322"/>
      <c r="L34" s="322"/>
      <c r="M34" s="322"/>
      <c r="N34" s="322"/>
      <c r="O34" s="322"/>
      <c r="P34" s="322"/>
      <c r="Q34" s="323"/>
      <c r="R34" s="321" t="s">
        <v>111</v>
      </c>
      <c r="S34" s="322"/>
      <c r="T34" s="322"/>
      <c r="U34" s="322"/>
      <c r="V34" s="322"/>
      <c r="W34" s="322"/>
      <c r="X34" s="322"/>
      <c r="Y34" s="322"/>
      <c r="Z34" s="322"/>
      <c r="AA34" s="322"/>
      <c r="AB34" s="322"/>
      <c r="AC34" s="322"/>
      <c r="AD34" s="322"/>
      <c r="AE34" s="322"/>
      <c r="AF34" s="322"/>
      <c r="AG34" s="322"/>
      <c r="AH34" s="323"/>
      <c r="AI34" s="321" t="s">
        <v>112</v>
      </c>
      <c r="AJ34" s="322"/>
      <c r="AK34" s="322"/>
      <c r="AL34" s="322"/>
      <c r="AM34" s="322"/>
      <c r="AN34" s="322"/>
      <c r="AO34" s="322"/>
      <c r="AP34" s="322"/>
      <c r="AQ34" s="322"/>
      <c r="AR34" s="322"/>
      <c r="AS34" s="322"/>
      <c r="AT34" s="322"/>
      <c r="AU34" s="322"/>
      <c r="AV34" s="322"/>
      <c r="AW34" s="322"/>
      <c r="AX34" s="322"/>
      <c r="AY34" s="323"/>
    </row>
    <row r="35" spans="1:51" ht="11.25" customHeight="1">
      <c r="A35" s="369" t="s">
        <v>178</v>
      </c>
      <c r="B35" s="41"/>
      <c r="C35" s="41"/>
      <c r="D35" s="41"/>
      <c r="E35" s="41"/>
      <c r="F35" s="41"/>
      <c r="G35" s="41"/>
      <c r="H35" s="41"/>
      <c r="I35" s="41"/>
      <c r="J35" s="41"/>
      <c r="K35" s="41"/>
      <c r="L35" s="41"/>
      <c r="M35" s="41"/>
      <c r="N35" s="41"/>
      <c r="O35" s="41"/>
      <c r="P35" s="41"/>
      <c r="Q35" s="73"/>
      <c r="R35" s="331" t="s">
        <v>178</v>
      </c>
      <c r="S35" s="41"/>
      <c r="T35" s="41"/>
      <c r="U35" s="41"/>
      <c r="V35" s="41"/>
      <c r="W35" s="41"/>
      <c r="X35" s="41"/>
      <c r="Y35" s="41"/>
      <c r="Z35" s="41"/>
      <c r="AA35" s="41"/>
      <c r="AB35" s="41"/>
      <c r="AC35" s="41"/>
      <c r="AD35" s="41"/>
      <c r="AE35" s="41"/>
      <c r="AF35" s="41"/>
      <c r="AG35" s="41"/>
      <c r="AH35" s="73"/>
      <c r="AI35" s="331" t="s">
        <v>178</v>
      </c>
      <c r="AJ35" s="41"/>
      <c r="AK35" s="41"/>
      <c r="AL35" s="41"/>
      <c r="AM35" s="41"/>
      <c r="AN35" s="41"/>
      <c r="AO35" s="41"/>
      <c r="AP35" s="41"/>
      <c r="AQ35" s="41"/>
      <c r="AR35" s="41"/>
      <c r="AS35" s="41"/>
      <c r="AT35" s="41"/>
      <c r="AU35" s="41"/>
      <c r="AV35" s="41"/>
      <c r="AW35" s="41"/>
      <c r="AX35" s="41"/>
      <c r="AY35" s="72"/>
    </row>
    <row r="36" spans="1:51" ht="18.75" customHeight="1">
      <c r="A36" s="369"/>
      <c r="B36" s="38"/>
      <c r="C36" s="307" t="s">
        <v>113</v>
      </c>
      <c r="D36" s="307"/>
      <c r="E36" s="307"/>
      <c r="F36" s="307"/>
      <c r="G36" s="55"/>
      <c r="H36" s="273" t="s">
        <v>115</v>
      </c>
      <c r="I36" s="274"/>
      <c r="J36" s="274"/>
      <c r="K36" s="275"/>
      <c r="L36" s="55"/>
      <c r="M36" s="289" t="s">
        <v>116</v>
      </c>
      <c r="N36" s="290"/>
      <c r="O36" s="290"/>
      <c r="P36" s="291"/>
      <c r="Q36" s="56"/>
      <c r="R36" s="331"/>
      <c r="S36" s="38"/>
      <c r="T36" s="307" t="s">
        <v>113</v>
      </c>
      <c r="U36" s="307"/>
      <c r="V36" s="307"/>
      <c r="W36" s="307"/>
      <c r="X36" s="55"/>
      <c r="Y36" s="282" t="s">
        <v>115</v>
      </c>
      <c r="Z36" s="283"/>
      <c r="AA36" s="283"/>
      <c r="AB36" s="284"/>
      <c r="AC36" s="55"/>
      <c r="AD36" s="324" t="s">
        <v>117</v>
      </c>
      <c r="AE36" s="324"/>
      <c r="AF36" s="324"/>
      <c r="AG36" s="324"/>
      <c r="AH36" s="56"/>
      <c r="AI36" s="331"/>
      <c r="AJ36" s="38"/>
      <c r="AK36" s="307" t="s">
        <v>113</v>
      </c>
      <c r="AL36" s="307"/>
      <c r="AM36" s="307"/>
      <c r="AN36" s="307"/>
      <c r="AO36" s="55"/>
      <c r="AP36" s="282" t="s">
        <v>115</v>
      </c>
      <c r="AQ36" s="283"/>
      <c r="AR36" s="283"/>
      <c r="AS36" s="284"/>
      <c r="AT36" s="55"/>
      <c r="AU36" s="324" t="s">
        <v>118</v>
      </c>
      <c r="AV36" s="324"/>
      <c r="AW36" s="324"/>
      <c r="AX36" s="324"/>
      <c r="AY36" s="56"/>
    </row>
    <row r="37" spans="1:51">
      <c r="A37" s="369"/>
      <c r="B37" s="38"/>
      <c r="C37" s="316">
        <f>試算シミュレーション!N25+試算シミュレーション!N27+試算シミュレーション!N29+試算シミュレーション!N31+試算シミュレーション!N33+試算シミュレーション!N35+試算シミュレーション!N37</f>
        <v>0</v>
      </c>
      <c r="D37" s="317"/>
      <c r="E37" s="317"/>
      <c r="F37" s="317"/>
      <c r="G37" s="41" t="s">
        <v>90</v>
      </c>
      <c r="H37" s="325">
        <f>G60</f>
        <v>6.2E-2</v>
      </c>
      <c r="I37" s="326"/>
      <c r="J37" s="326"/>
      <c r="K37" s="327"/>
      <c r="L37" s="41" t="s">
        <v>114</v>
      </c>
      <c r="M37" s="328">
        <f>C37*H37</f>
        <v>0</v>
      </c>
      <c r="N37" s="329"/>
      <c r="O37" s="329"/>
      <c r="P37" s="330"/>
      <c r="Q37" s="56"/>
      <c r="R37" s="331"/>
      <c r="S37" s="38"/>
      <c r="T37" s="316">
        <f>C37</f>
        <v>0</v>
      </c>
      <c r="U37" s="317"/>
      <c r="V37" s="317"/>
      <c r="W37" s="317"/>
      <c r="X37" s="41" t="s">
        <v>119</v>
      </c>
      <c r="Y37" s="325">
        <f>O60</f>
        <v>2.5000000000000001E-2</v>
      </c>
      <c r="Z37" s="326"/>
      <c r="AA37" s="326"/>
      <c r="AB37" s="327"/>
      <c r="AC37" s="41" t="s">
        <v>114</v>
      </c>
      <c r="AD37" s="295">
        <f>T37*Y37</f>
        <v>0</v>
      </c>
      <c r="AE37" s="295"/>
      <c r="AF37" s="295"/>
      <c r="AG37" s="295"/>
      <c r="AH37" s="56"/>
      <c r="AI37" s="331"/>
      <c r="AJ37" s="38"/>
      <c r="AK37" s="316">
        <f>V18-Z18</f>
        <v>0</v>
      </c>
      <c r="AL37" s="317"/>
      <c r="AM37" s="317"/>
      <c r="AN37" s="317"/>
      <c r="AO37" s="41" t="s">
        <v>119</v>
      </c>
      <c r="AP37" s="325">
        <f>W60</f>
        <v>2.1999999999999999E-2</v>
      </c>
      <c r="AQ37" s="326"/>
      <c r="AR37" s="326"/>
      <c r="AS37" s="327"/>
      <c r="AT37" s="41" t="s">
        <v>114</v>
      </c>
      <c r="AU37" s="295">
        <f>AK37*AP37</f>
        <v>0</v>
      </c>
      <c r="AV37" s="295"/>
      <c r="AW37" s="295"/>
      <c r="AX37" s="295"/>
      <c r="AY37" s="56"/>
    </row>
    <row r="38" spans="1:51" ht="11.25" customHeight="1">
      <c r="A38" s="299" t="s">
        <v>120</v>
      </c>
      <c r="B38" s="51"/>
      <c r="C38" s="52"/>
      <c r="D38" s="52"/>
      <c r="E38" s="52"/>
      <c r="F38" s="52"/>
      <c r="G38" s="52"/>
      <c r="H38" s="52"/>
      <c r="I38" s="52"/>
      <c r="J38" s="52"/>
      <c r="K38" s="52"/>
      <c r="L38" s="52"/>
      <c r="M38" s="52"/>
      <c r="N38" s="52"/>
      <c r="O38" s="52"/>
      <c r="P38" s="52"/>
      <c r="Q38" s="53"/>
      <c r="R38" s="299" t="s">
        <v>120</v>
      </c>
      <c r="S38" s="51"/>
      <c r="T38" s="52"/>
      <c r="U38" s="52"/>
      <c r="V38" s="52"/>
      <c r="W38" s="52"/>
      <c r="X38" s="52"/>
      <c r="Y38" s="52"/>
      <c r="Z38" s="52"/>
      <c r="AA38" s="52"/>
      <c r="AB38" s="52"/>
      <c r="AC38" s="52"/>
      <c r="AD38" s="52"/>
      <c r="AE38" s="52"/>
      <c r="AF38" s="52"/>
      <c r="AG38" s="52"/>
      <c r="AH38" s="53"/>
      <c r="AI38" s="299" t="s">
        <v>120</v>
      </c>
      <c r="AJ38" s="51"/>
      <c r="AK38" s="52"/>
      <c r="AL38" s="52"/>
      <c r="AM38" s="52"/>
      <c r="AN38" s="52"/>
      <c r="AO38" s="52"/>
      <c r="AP38" s="52"/>
      <c r="AQ38" s="52"/>
      <c r="AR38" s="52"/>
      <c r="AS38" s="52"/>
      <c r="AT38" s="52"/>
      <c r="AU38" s="52"/>
      <c r="AV38" s="52"/>
      <c r="AW38" s="52"/>
      <c r="AX38" s="52"/>
      <c r="AY38" s="53"/>
    </row>
    <row r="39" spans="1:51">
      <c r="A39" s="300"/>
      <c r="B39" s="54"/>
      <c r="C39" s="307" t="s">
        <v>121</v>
      </c>
      <c r="D39" s="307"/>
      <c r="E39" s="307"/>
      <c r="F39" s="307"/>
      <c r="G39" s="55"/>
      <c r="H39" s="308" t="s">
        <v>122</v>
      </c>
      <c r="I39" s="309"/>
      <c r="J39" s="309"/>
      <c r="K39" s="310"/>
      <c r="L39" s="55"/>
      <c r="M39" s="289" t="s">
        <v>161</v>
      </c>
      <c r="N39" s="290"/>
      <c r="O39" s="290"/>
      <c r="P39" s="291"/>
      <c r="Q39" s="56"/>
      <c r="R39" s="300"/>
      <c r="S39" s="54"/>
      <c r="T39" s="307" t="s">
        <v>121</v>
      </c>
      <c r="U39" s="307"/>
      <c r="V39" s="307"/>
      <c r="W39" s="307"/>
      <c r="X39" s="55"/>
      <c r="Y39" s="308" t="s">
        <v>122</v>
      </c>
      <c r="Z39" s="309"/>
      <c r="AA39" s="309"/>
      <c r="AB39" s="310"/>
      <c r="AC39" s="55"/>
      <c r="AD39" s="289" t="s">
        <v>165</v>
      </c>
      <c r="AE39" s="290"/>
      <c r="AF39" s="290"/>
      <c r="AG39" s="291"/>
      <c r="AH39" s="56"/>
      <c r="AI39" s="300"/>
      <c r="AJ39" s="54"/>
      <c r="AK39" s="307" t="s">
        <v>123</v>
      </c>
      <c r="AL39" s="307"/>
      <c r="AM39" s="307"/>
      <c r="AN39" s="307"/>
      <c r="AO39" s="55"/>
      <c r="AP39" s="308" t="s">
        <v>122</v>
      </c>
      <c r="AQ39" s="309"/>
      <c r="AR39" s="309"/>
      <c r="AS39" s="310"/>
      <c r="AT39" s="55"/>
      <c r="AU39" s="289" t="s">
        <v>168</v>
      </c>
      <c r="AV39" s="290"/>
      <c r="AW39" s="290"/>
      <c r="AX39" s="291"/>
      <c r="AY39" s="56"/>
    </row>
    <row r="40" spans="1:51">
      <c r="A40" s="300"/>
      <c r="B40" s="54"/>
      <c r="C40" s="314">
        <f>COUNTA(試算シミュレーション!C25:C38)</f>
        <v>0</v>
      </c>
      <c r="D40" s="314"/>
      <c r="E40" s="314"/>
      <c r="F40" s="59" t="s">
        <v>94</v>
      </c>
      <c r="G40" s="41" t="s">
        <v>124</v>
      </c>
      <c r="H40" s="292">
        <f>VLOOKUP(M32,D62:AD65,4,FALSE)</f>
        <v>6900</v>
      </c>
      <c r="I40" s="293"/>
      <c r="J40" s="293"/>
      <c r="K40" s="294"/>
      <c r="L40" s="41" t="s">
        <v>125</v>
      </c>
      <c r="M40" s="295">
        <f>C40*H40</f>
        <v>0</v>
      </c>
      <c r="N40" s="295"/>
      <c r="O40" s="295"/>
      <c r="P40" s="295"/>
      <c r="Q40" s="56"/>
      <c r="R40" s="300"/>
      <c r="S40" s="54"/>
      <c r="T40" s="314">
        <f>COUNTA(試算シミュレーション!C25:C38)</f>
        <v>0</v>
      </c>
      <c r="U40" s="314"/>
      <c r="V40" s="314"/>
      <c r="W40" s="59" t="s">
        <v>94</v>
      </c>
      <c r="X40" s="41" t="s">
        <v>124</v>
      </c>
      <c r="Y40" s="292">
        <f>VLOOKUP(M32,D62:AD65,12,FALSE)</f>
        <v>3900</v>
      </c>
      <c r="Z40" s="293"/>
      <c r="AA40" s="293"/>
      <c r="AB40" s="294"/>
      <c r="AC40" s="41" t="s">
        <v>125</v>
      </c>
      <c r="AD40" s="295">
        <f>T40*Y40</f>
        <v>0</v>
      </c>
      <c r="AE40" s="295"/>
      <c r="AF40" s="295"/>
      <c r="AG40" s="295"/>
      <c r="AH40" s="56"/>
      <c r="AI40" s="300"/>
      <c r="AJ40" s="54"/>
      <c r="AK40" s="315">
        <f>SUM(U4:U17)</f>
        <v>0</v>
      </c>
      <c r="AL40" s="315"/>
      <c r="AM40" s="315"/>
      <c r="AN40" s="59" t="s">
        <v>94</v>
      </c>
      <c r="AO40" s="41" t="s">
        <v>124</v>
      </c>
      <c r="AP40" s="292">
        <f>VLOOKUP(M32,D62:AD65,20,FALSE)</f>
        <v>4500</v>
      </c>
      <c r="AQ40" s="293"/>
      <c r="AR40" s="293"/>
      <c r="AS40" s="294"/>
      <c r="AT40" s="41" t="s">
        <v>125</v>
      </c>
      <c r="AU40" s="295">
        <f>AK40*AP40</f>
        <v>0</v>
      </c>
      <c r="AV40" s="295"/>
      <c r="AW40" s="295"/>
      <c r="AX40" s="295"/>
      <c r="AY40" s="56"/>
    </row>
    <row r="41" spans="1:51">
      <c r="A41" s="300"/>
      <c r="B41" s="54"/>
      <c r="C41" s="58"/>
      <c r="D41" s="58"/>
      <c r="E41" s="58"/>
      <c r="F41" s="59"/>
      <c r="G41" s="41"/>
      <c r="H41" s="57"/>
      <c r="I41" s="57"/>
      <c r="J41" s="57"/>
      <c r="K41" s="57"/>
      <c r="L41" s="41"/>
      <c r="M41" s="57"/>
      <c r="N41" s="57"/>
      <c r="O41" s="57"/>
      <c r="P41" s="57"/>
      <c r="Q41" s="56"/>
      <c r="R41" s="300"/>
      <c r="S41" s="54"/>
      <c r="T41" s="58"/>
      <c r="U41" s="58"/>
      <c r="V41" s="58"/>
      <c r="W41" s="59"/>
      <c r="X41" s="41"/>
      <c r="Y41" s="57"/>
      <c r="Z41" s="57"/>
      <c r="AA41" s="57"/>
      <c r="AB41" s="57"/>
      <c r="AC41" s="41"/>
      <c r="AD41" s="57"/>
      <c r="AE41" s="57"/>
      <c r="AF41" s="57"/>
      <c r="AG41" s="57"/>
      <c r="AH41" s="56"/>
      <c r="AI41" s="300"/>
      <c r="AJ41" s="54"/>
      <c r="AK41" s="58"/>
      <c r="AL41" s="58"/>
      <c r="AM41" s="58"/>
      <c r="AN41" s="59"/>
      <c r="AO41" s="41"/>
      <c r="AP41" s="57"/>
      <c r="AQ41" s="57"/>
      <c r="AR41" s="57"/>
      <c r="AS41" s="57"/>
      <c r="AT41" s="41"/>
      <c r="AU41" s="57"/>
      <c r="AV41" s="57"/>
      <c r="AW41" s="57"/>
      <c r="AX41" s="57"/>
      <c r="AY41" s="56"/>
    </row>
    <row r="42" spans="1:51">
      <c r="A42" s="300"/>
      <c r="B42" s="311" t="s">
        <v>173</v>
      </c>
      <c r="C42" s="312"/>
      <c r="D42" s="312"/>
      <c r="E42" s="312"/>
      <c r="F42" s="312"/>
      <c r="G42" s="312"/>
      <c r="H42" s="57"/>
      <c r="I42" s="57"/>
      <c r="J42" s="57"/>
      <c r="K42" s="57"/>
      <c r="L42" s="41"/>
      <c r="M42" s="306" t="s">
        <v>175</v>
      </c>
      <c r="N42" s="306"/>
      <c r="O42" s="306"/>
      <c r="P42" s="306"/>
      <c r="Q42" s="56"/>
      <c r="R42" s="300"/>
      <c r="S42" s="311" t="s">
        <v>173</v>
      </c>
      <c r="T42" s="312"/>
      <c r="U42" s="312"/>
      <c r="V42" s="312"/>
      <c r="W42" s="312"/>
      <c r="X42" s="312"/>
      <c r="Y42" s="57"/>
      <c r="Z42" s="57"/>
      <c r="AA42" s="57"/>
      <c r="AB42" s="57"/>
      <c r="AC42" s="41"/>
      <c r="AD42" s="306" t="s">
        <v>175</v>
      </c>
      <c r="AE42" s="306"/>
      <c r="AF42" s="306"/>
      <c r="AG42" s="306"/>
      <c r="AH42" s="56"/>
      <c r="AI42" s="300"/>
      <c r="AJ42" s="54"/>
      <c r="AK42" s="58"/>
      <c r="AL42" s="58"/>
      <c r="AM42" s="58"/>
      <c r="AN42" s="59"/>
      <c r="AO42" s="41"/>
      <c r="AP42" s="57"/>
      <c r="AQ42" s="57"/>
      <c r="AR42" s="57"/>
      <c r="AS42" s="57"/>
      <c r="AT42" s="41"/>
      <c r="AU42" s="57"/>
      <c r="AV42" s="57"/>
      <c r="AW42" s="57"/>
      <c r="AX42" s="57"/>
      <c r="AY42" s="56"/>
    </row>
    <row r="43" spans="1:51">
      <c r="A43" s="300"/>
      <c r="B43" s="54"/>
      <c r="C43" s="313">
        <f>SUM(AD4:AD17)</f>
        <v>0</v>
      </c>
      <c r="D43" s="313"/>
      <c r="E43" s="313"/>
      <c r="F43" s="59" t="s">
        <v>94</v>
      </c>
      <c r="G43" s="41" t="s">
        <v>124</v>
      </c>
      <c r="H43" s="304">
        <f>H40/2</f>
        <v>3450</v>
      </c>
      <c r="I43" s="304"/>
      <c r="J43" s="304"/>
      <c r="K43" s="304"/>
      <c r="L43" s="41" t="s">
        <v>174</v>
      </c>
      <c r="M43" s="305">
        <f>C43*H43</f>
        <v>0</v>
      </c>
      <c r="N43" s="305"/>
      <c r="O43" s="305"/>
      <c r="P43" s="305"/>
      <c r="Q43" s="56"/>
      <c r="R43" s="300"/>
      <c r="S43" s="54"/>
      <c r="T43" s="313">
        <f>SUM(AD4:AD17)</f>
        <v>0</v>
      </c>
      <c r="U43" s="313"/>
      <c r="V43" s="313"/>
      <c r="W43" s="59" t="s">
        <v>94</v>
      </c>
      <c r="X43" s="41" t="s">
        <v>124</v>
      </c>
      <c r="Y43" s="304">
        <f>Y40/2</f>
        <v>1950</v>
      </c>
      <c r="Z43" s="304"/>
      <c r="AA43" s="304"/>
      <c r="AB43" s="304"/>
      <c r="AC43" s="41" t="s">
        <v>174</v>
      </c>
      <c r="AD43" s="305">
        <f>T43*Y43</f>
        <v>0</v>
      </c>
      <c r="AE43" s="305"/>
      <c r="AF43" s="305"/>
      <c r="AG43" s="305"/>
      <c r="AH43" s="56"/>
      <c r="AI43" s="300"/>
      <c r="AJ43" s="54"/>
      <c r="AK43" s="58"/>
      <c r="AL43" s="58"/>
      <c r="AM43" s="58"/>
      <c r="AN43" s="59"/>
      <c r="AO43" s="41"/>
      <c r="AP43" s="57"/>
      <c r="AQ43" s="57"/>
      <c r="AR43" s="57"/>
      <c r="AS43" s="57"/>
      <c r="AT43" s="41"/>
      <c r="AU43" s="57"/>
      <c r="AV43" s="57"/>
      <c r="AW43" s="57"/>
      <c r="AX43" s="57"/>
      <c r="AY43" s="56"/>
    </row>
    <row r="44" spans="1:51" ht="11.25" customHeight="1">
      <c r="A44" s="299" t="s">
        <v>95</v>
      </c>
      <c r="B44" s="51"/>
      <c r="C44" s="52"/>
      <c r="D44" s="52"/>
      <c r="E44" s="52"/>
      <c r="F44" s="52"/>
      <c r="G44" s="52"/>
      <c r="H44" s="52"/>
      <c r="I44" s="52"/>
      <c r="J44" s="52"/>
      <c r="K44" s="52"/>
      <c r="L44" s="52"/>
      <c r="M44" s="52"/>
      <c r="N44" s="52"/>
      <c r="O44" s="52"/>
      <c r="P44" s="52"/>
      <c r="Q44" s="53"/>
      <c r="R44" s="299" t="s">
        <v>95</v>
      </c>
      <c r="S44" s="51"/>
      <c r="T44" s="52"/>
      <c r="U44" s="52"/>
      <c r="V44" s="52"/>
      <c r="W44" s="52"/>
      <c r="X44" s="52"/>
      <c r="Y44" s="52"/>
      <c r="Z44" s="52"/>
      <c r="AA44" s="52"/>
      <c r="AB44" s="52"/>
      <c r="AC44" s="52"/>
      <c r="AD44" s="52"/>
      <c r="AE44" s="52"/>
      <c r="AF44" s="52"/>
      <c r="AG44" s="52"/>
      <c r="AH44" s="53"/>
      <c r="AI44" s="299" t="s">
        <v>95</v>
      </c>
      <c r="AJ44" s="51"/>
      <c r="AK44" s="52"/>
      <c r="AL44" s="52"/>
      <c r="AM44" s="52"/>
      <c r="AN44" s="52"/>
      <c r="AO44" s="52"/>
      <c r="AP44" s="52"/>
      <c r="AQ44" s="52"/>
      <c r="AR44" s="52"/>
      <c r="AS44" s="52"/>
      <c r="AT44" s="52"/>
      <c r="AU44" s="52"/>
      <c r="AV44" s="52"/>
      <c r="AW44" s="52"/>
      <c r="AX44" s="52"/>
      <c r="AY44" s="53"/>
    </row>
    <row r="45" spans="1:51">
      <c r="A45" s="300"/>
      <c r="B45" s="54"/>
      <c r="C45" s="38"/>
      <c r="D45" s="38"/>
      <c r="E45" s="38"/>
      <c r="F45" s="38"/>
      <c r="G45" s="38"/>
      <c r="H45" s="301" t="s">
        <v>126</v>
      </c>
      <c r="I45" s="302"/>
      <c r="J45" s="302"/>
      <c r="K45" s="303"/>
      <c r="L45" s="38"/>
      <c r="M45" s="289" t="s">
        <v>162</v>
      </c>
      <c r="N45" s="290"/>
      <c r="O45" s="290"/>
      <c r="P45" s="291"/>
      <c r="Q45" s="56"/>
      <c r="R45" s="300"/>
      <c r="S45" s="54"/>
      <c r="T45" s="38"/>
      <c r="U45" s="38"/>
      <c r="V45" s="38"/>
      <c r="W45" s="38"/>
      <c r="X45" s="38"/>
      <c r="Y45" s="301" t="s">
        <v>126</v>
      </c>
      <c r="Z45" s="302"/>
      <c r="AA45" s="302"/>
      <c r="AB45" s="303"/>
      <c r="AC45" s="38"/>
      <c r="AD45" s="289" t="s">
        <v>166</v>
      </c>
      <c r="AE45" s="290"/>
      <c r="AF45" s="290"/>
      <c r="AG45" s="291"/>
      <c r="AH45" s="56"/>
      <c r="AI45" s="300"/>
      <c r="AJ45" s="54"/>
      <c r="AK45" s="38"/>
      <c r="AL45" s="38"/>
      <c r="AM45" s="38"/>
      <c r="AN45" s="38"/>
      <c r="AO45" s="38"/>
      <c r="AP45" s="301" t="s">
        <v>126</v>
      </c>
      <c r="AQ45" s="302"/>
      <c r="AR45" s="302"/>
      <c r="AS45" s="303"/>
      <c r="AT45" s="38"/>
      <c r="AU45" s="289" t="s">
        <v>169</v>
      </c>
      <c r="AV45" s="290"/>
      <c r="AW45" s="290"/>
      <c r="AX45" s="291"/>
      <c r="AY45" s="56"/>
    </row>
    <row r="46" spans="1:51">
      <c r="A46" s="300"/>
      <c r="B46" s="54"/>
      <c r="C46" s="60"/>
      <c r="D46" s="60"/>
      <c r="E46" s="60"/>
      <c r="F46" s="38"/>
      <c r="G46" s="38"/>
      <c r="H46" s="292">
        <f>VLOOKUP(M32,D62:AD65,8,FALSE)</f>
        <v>5700</v>
      </c>
      <c r="I46" s="293"/>
      <c r="J46" s="293"/>
      <c r="K46" s="294"/>
      <c r="L46" s="41" t="s">
        <v>125</v>
      </c>
      <c r="M46" s="295">
        <f>H46</f>
        <v>5700</v>
      </c>
      <c r="N46" s="296"/>
      <c r="O46" s="296"/>
      <c r="P46" s="296"/>
      <c r="Q46" s="56"/>
      <c r="R46" s="300"/>
      <c r="S46" s="54"/>
      <c r="T46" s="60"/>
      <c r="U46" s="60"/>
      <c r="V46" s="60"/>
      <c r="W46" s="38"/>
      <c r="X46" s="38"/>
      <c r="Y46" s="269">
        <f>VLOOKUP(M32,D62:AD65,16,FALSE)</f>
        <v>0</v>
      </c>
      <c r="Z46" s="297"/>
      <c r="AA46" s="297"/>
      <c r="AB46" s="298"/>
      <c r="AC46" s="41" t="s">
        <v>114</v>
      </c>
      <c r="AD46" s="295">
        <f>Y46</f>
        <v>0</v>
      </c>
      <c r="AE46" s="296"/>
      <c r="AF46" s="296"/>
      <c r="AG46" s="296"/>
      <c r="AH46" s="56"/>
      <c r="AI46" s="300"/>
      <c r="AJ46" s="54"/>
      <c r="AK46" s="60"/>
      <c r="AL46" s="60"/>
      <c r="AM46" s="60"/>
      <c r="AN46" s="38"/>
      <c r="AO46" s="38"/>
      <c r="AP46" s="269">
        <f>VLOOKUP(M32,D62:AD65,24,FALSE)</f>
        <v>0</v>
      </c>
      <c r="AQ46" s="297"/>
      <c r="AR46" s="297"/>
      <c r="AS46" s="298"/>
      <c r="AT46" s="41" t="s">
        <v>114</v>
      </c>
      <c r="AU46" s="295">
        <v>0</v>
      </c>
      <c r="AV46" s="296"/>
      <c r="AW46" s="296"/>
      <c r="AX46" s="296"/>
      <c r="AY46" s="56"/>
    </row>
    <row r="47" spans="1:51" ht="11.25" customHeight="1">
      <c r="A47" s="248" t="s">
        <v>127</v>
      </c>
      <c r="B47" s="51"/>
      <c r="C47" s="52"/>
      <c r="D47" s="52"/>
      <c r="E47" s="52"/>
      <c r="F47" s="52"/>
      <c r="G47" s="52"/>
      <c r="H47" s="52"/>
      <c r="I47" s="52"/>
      <c r="J47" s="52"/>
      <c r="K47" s="52"/>
      <c r="L47" s="52"/>
      <c r="M47" s="52"/>
      <c r="N47" s="52"/>
      <c r="O47" s="52"/>
      <c r="P47" s="52"/>
      <c r="Q47" s="53"/>
      <c r="R47" s="248" t="s">
        <v>127</v>
      </c>
      <c r="S47" s="51"/>
      <c r="T47" s="52"/>
      <c r="U47" s="52"/>
      <c r="V47" s="52"/>
      <c r="W47" s="52"/>
      <c r="X47" s="52"/>
      <c r="Y47" s="52"/>
      <c r="Z47" s="52"/>
      <c r="AA47" s="52"/>
      <c r="AB47" s="52"/>
      <c r="AC47" s="52"/>
      <c r="AD47" s="52"/>
      <c r="AE47" s="52"/>
      <c r="AF47" s="52"/>
      <c r="AG47" s="52"/>
      <c r="AH47" s="53"/>
      <c r="AI47" s="248" t="s">
        <v>127</v>
      </c>
      <c r="AJ47" s="51"/>
      <c r="AK47" s="52"/>
      <c r="AL47" s="52"/>
      <c r="AM47" s="52"/>
      <c r="AN47" s="52"/>
      <c r="AO47" s="52"/>
      <c r="AP47" s="52"/>
      <c r="AQ47" s="52"/>
      <c r="AR47" s="52"/>
      <c r="AS47" s="52"/>
      <c r="AT47" s="52"/>
      <c r="AU47" s="52"/>
      <c r="AV47" s="52"/>
      <c r="AW47" s="52"/>
      <c r="AX47" s="52"/>
      <c r="AY47" s="53"/>
    </row>
    <row r="48" spans="1:51">
      <c r="A48" s="249"/>
      <c r="B48" s="54"/>
      <c r="C48" s="282" t="s">
        <v>128</v>
      </c>
      <c r="D48" s="283"/>
      <c r="E48" s="283"/>
      <c r="F48" s="284"/>
      <c r="G48" s="80"/>
      <c r="H48" s="282" t="s">
        <v>163</v>
      </c>
      <c r="I48" s="283"/>
      <c r="J48" s="283"/>
      <c r="K48" s="284"/>
      <c r="L48" s="80"/>
      <c r="M48" s="282" t="s">
        <v>164</v>
      </c>
      <c r="N48" s="283"/>
      <c r="O48" s="283"/>
      <c r="P48" s="284"/>
      <c r="Q48" s="56"/>
      <c r="R48" s="249"/>
      <c r="S48" s="54"/>
      <c r="T48" s="282" t="s">
        <v>129</v>
      </c>
      <c r="U48" s="283"/>
      <c r="V48" s="283"/>
      <c r="W48" s="284"/>
      <c r="X48" s="80"/>
      <c r="Y48" s="282" t="s">
        <v>167</v>
      </c>
      <c r="Z48" s="283"/>
      <c r="AA48" s="283"/>
      <c r="AB48" s="284"/>
      <c r="AC48" s="80"/>
      <c r="AD48" s="282" t="s">
        <v>134</v>
      </c>
      <c r="AE48" s="283"/>
      <c r="AF48" s="283"/>
      <c r="AG48" s="284"/>
      <c r="AH48" s="56"/>
      <c r="AI48" s="249"/>
      <c r="AJ48" s="54"/>
      <c r="AK48" s="282" t="s">
        <v>130</v>
      </c>
      <c r="AL48" s="283"/>
      <c r="AM48" s="283"/>
      <c r="AN48" s="284"/>
      <c r="AO48" s="80"/>
      <c r="AP48" s="282" t="s">
        <v>170</v>
      </c>
      <c r="AQ48" s="283"/>
      <c r="AR48" s="283"/>
      <c r="AS48" s="284"/>
      <c r="AT48" s="80"/>
      <c r="AU48" s="282" t="s">
        <v>171</v>
      </c>
      <c r="AV48" s="283"/>
      <c r="AW48" s="283"/>
      <c r="AX48" s="284"/>
      <c r="AY48" s="56"/>
    </row>
    <row r="49" spans="1:51">
      <c r="A49" s="249"/>
      <c r="B49" s="54"/>
      <c r="C49" s="269">
        <f>M37</f>
        <v>0</v>
      </c>
      <c r="D49" s="270"/>
      <c r="E49" s="270"/>
      <c r="F49" s="271"/>
      <c r="G49" s="41" t="s">
        <v>131</v>
      </c>
      <c r="H49" s="269">
        <f>M40-M43</f>
        <v>0</v>
      </c>
      <c r="I49" s="270"/>
      <c r="J49" s="270"/>
      <c r="K49" s="271"/>
      <c r="L49" s="41" t="s">
        <v>132</v>
      </c>
      <c r="M49" s="269">
        <f>M46</f>
        <v>5700</v>
      </c>
      <c r="N49" s="270"/>
      <c r="O49" s="270"/>
      <c r="P49" s="271"/>
      <c r="Q49" s="56"/>
      <c r="R49" s="249"/>
      <c r="S49" s="54"/>
      <c r="T49" s="269">
        <f>AD37</f>
        <v>0</v>
      </c>
      <c r="U49" s="270"/>
      <c r="V49" s="270"/>
      <c r="W49" s="271"/>
      <c r="X49" s="41" t="s">
        <v>131</v>
      </c>
      <c r="Y49" s="269">
        <f>AD40-AD43</f>
        <v>0</v>
      </c>
      <c r="Z49" s="270"/>
      <c r="AA49" s="270"/>
      <c r="AB49" s="271"/>
      <c r="AC49" s="41" t="s">
        <v>131</v>
      </c>
      <c r="AD49" s="269">
        <f>AD46</f>
        <v>0</v>
      </c>
      <c r="AE49" s="270"/>
      <c r="AF49" s="270"/>
      <c r="AG49" s="271"/>
      <c r="AH49" s="56"/>
      <c r="AI49" s="249"/>
      <c r="AJ49" s="54"/>
      <c r="AK49" s="269">
        <f>AU37</f>
        <v>0</v>
      </c>
      <c r="AL49" s="270"/>
      <c r="AM49" s="270"/>
      <c r="AN49" s="271"/>
      <c r="AO49" s="41" t="s">
        <v>131</v>
      </c>
      <c r="AP49" s="269">
        <f>AU40</f>
        <v>0</v>
      </c>
      <c r="AQ49" s="270"/>
      <c r="AR49" s="270"/>
      <c r="AS49" s="271"/>
      <c r="AT49" s="41" t="s">
        <v>131</v>
      </c>
      <c r="AU49" s="269">
        <f>BE40</f>
        <v>0</v>
      </c>
      <c r="AV49" s="270"/>
      <c r="AW49" s="270"/>
      <c r="AX49" s="271"/>
      <c r="AY49" s="56"/>
    </row>
    <row r="50" spans="1:51" ht="11.25" customHeight="1">
      <c r="A50" s="249"/>
      <c r="B50" s="54"/>
      <c r="C50" s="38"/>
      <c r="D50" s="38"/>
      <c r="E50" s="38"/>
      <c r="F50" s="38"/>
      <c r="G50" s="38"/>
      <c r="H50" s="38"/>
      <c r="I50" s="38"/>
      <c r="J50" s="38"/>
      <c r="K50" s="38"/>
      <c r="L50" s="38"/>
      <c r="M50" s="38"/>
      <c r="N50" s="38"/>
      <c r="O50" s="38"/>
      <c r="P50" s="38"/>
      <c r="Q50" s="56"/>
      <c r="R50" s="249"/>
      <c r="S50" s="54"/>
      <c r="T50" s="38"/>
      <c r="U50" s="38"/>
      <c r="V50" s="38"/>
      <c r="W50" s="38"/>
      <c r="X50" s="38"/>
      <c r="Y50" s="38"/>
      <c r="Z50" s="38"/>
      <c r="AA50" s="38"/>
      <c r="AB50" s="38"/>
      <c r="AC50" s="38"/>
      <c r="AD50" s="38"/>
      <c r="AE50" s="38"/>
      <c r="AF50" s="38"/>
      <c r="AG50" s="38"/>
      <c r="AH50" s="56"/>
      <c r="AI50" s="249"/>
      <c r="AJ50" s="54"/>
      <c r="AK50" s="38"/>
      <c r="AL50" s="38"/>
      <c r="AM50" s="38"/>
      <c r="AN50" s="38"/>
      <c r="AO50" s="38"/>
      <c r="AP50" s="38"/>
      <c r="AQ50" s="38"/>
      <c r="AR50" s="38"/>
      <c r="AS50" s="38"/>
      <c r="AT50" s="38"/>
      <c r="AU50" s="38"/>
      <c r="AV50" s="38"/>
      <c r="AW50" s="38"/>
      <c r="AX50" s="38"/>
      <c r="AY50" s="56"/>
    </row>
    <row r="51" spans="1:51">
      <c r="A51" s="249"/>
      <c r="B51" s="54"/>
      <c r="C51" s="55"/>
      <c r="D51" s="55"/>
      <c r="E51" s="55"/>
      <c r="F51" s="55"/>
      <c r="G51" s="55"/>
      <c r="H51" s="273" t="s">
        <v>127</v>
      </c>
      <c r="I51" s="274"/>
      <c r="J51" s="274"/>
      <c r="K51" s="275"/>
      <c r="L51" s="55"/>
      <c r="M51" s="276" t="s">
        <v>133</v>
      </c>
      <c r="N51" s="277"/>
      <c r="O51" s="277"/>
      <c r="P51" s="278"/>
      <c r="Q51" s="56"/>
      <c r="R51" s="249"/>
      <c r="S51" s="54"/>
      <c r="T51" s="55"/>
      <c r="U51" s="55"/>
      <c r="V51" s="55"/>
      <c r="W51" s="55"/>
      <c r="X51" s="55"/>
      <c r="Y51" s="273" t="s">
        <v>127</v>
      </c>
      <c r="Z51" s="274"/>
      <c r="AA51" s="274"/>
      <c r="AB51" s="275"/>
      <c r="AC51" s="55"/>
      <c r="AD51" s="276" t="s">
        <v>135</v>
      </c>
      <c r="AE51" s="277"/>
      <c r="AF51" s="277"/>
      <c r="AG51" s="278"/>
      <c r="AH51" s="56"/>
      <c r="AI51" s="249"/>
      <c r="AJ51" s="54"/>
      <c r="AK51" s="55"/>
      <c r="AL51" s="55"/>
      <c r="AM51" s="55"/>
      <c r="AN51" s="55"/>
      <c r="AO51" s="55"/>
      <c r="AP51" s="273" t="s">
        <v>127</v>
      </c>
      <c r="AQ51" s="274"/>
      <c r="AR51" s="274"/>
      <c r="AS51" s="275"/>
      <c r="AT51" s="55"/>
      <c r="AU51" s="276" t="s">
        <v>136</v>
      </c>
      <c r="AV51" s="277"/>
      <c r="AW51" s="277"/>
      <c r="AX51" s="278"/>
      <c r="AY51" s="56"/>
    </row>
    <row r="52" spans="1:51">
      <c r="A52" s="249"/>
      <c r="B52" s="54"/>
      <c r="C52" s="57"/>
      <c r="D52" s="38"/>
      <c r="E52" s="38"/>
      <c r="F52" s="38"/>
      <c r="G52" s="41" t="s">
        <v>137</v>
      </c>
      <c r="H52" s="269">
        <f>C49+H49+M49</f>
        <v>5700</v>
      </c>
      <c r="I52" s="270"/>
      <c r="J52" s="270"/>
      <c r="K52" s="271"/>
      <c r="L52" s="38" t="s">
        <v>138</v>
      </c>
      <c r="M52" s="288">
        <f>IF(H52&gt;K54,K54,ROUNDDOWN(H52,-2))</f>
        <v>5700</v>
      </c>
      <c r="N52" s="288"/>
      <c r="O52" s="288"/>
      <c r="P52" s="288"/>
      <c r="Q52" s="56"/>
      <c r="R52" s="249"/>
      <c r="S52" s="54"/>
      <c r="T52" s="57"/>
      <c r="U52" s="38"/>
      <c r="V52" s="38"/>
      <c r="W52" s="38"/>
      <c r="X52" s="41" t="s">
        <v>139</v>
      </c>
      <c r="Y52" s="269">
        <f>T49+Y49+AD49</f>
        <v>0</v>
      </c>
      <c r="Z52" s="270"/>
      <c r="AA52" s="270"/>
      <c r="AB52" s="271"/>
      <c r="AC52" s="38" t="s">
        <v>140</v>
      </c>
      <c r="AD52" s="272">
        <f>IF(Y52&gt;AB54,AB54,ROUNDDOWN(Y52,-2))</f>
        <v>0</v>
      </c>
      <c r="AE52" s="272"/>
      <c r="AF52" s="272"/>
      <c r="AG52" s="272"/>
      <c r="AH52" s="56"/>
      <c r="AI52" s="249"/>
      <c r="AJ52" s="54"/>
      <c r="AK52" s="57"/>
      <c r="AL52" s="38"/>
      <c r="AM52" s="38"/>
      <c r="AN52" s="38"/>
      <c r="AO52" s="41" t="s">
        <v>139</v>
      </c>
      <c r="AP52" s="269">
        <f>AK49+AP49+AU49</f>
        <v>0</v>
      </c>
      <c r="AQ52" s="270"/>
      <c r="AR52" s="270"/>
      <c r="AS52" s="271"/>
      <c r="AT52" s="38" t="s">
        <v>140</v>
      </c>
      <c r="AU52" s="272">
        <f>IF(AP52&gt;AS54,AS54,ROUNDDOWN(AP52,-2))</f>
        <v>0</v>
      </c>
      <c r="AV52" s="272"/>
      <c r="AW52" s="272"/>
      <c r="AX52" s="272"/>
      <c r="AY52" s="56"/>
    </row>
    <row r="53" spans="1:51">
      <c r="A53" s="249"/>
      <c r="B53" s="54"/>
      <c r="C53" s="38"/>
      <c r="D53" s="38"/>
      <c r="E53" s="38"/>
      <c r="F53" s="38"/>
      <c r="G53" s="38"/>
      <c r="H53" s="38"/>
      <c r="I53" s="38"/>
      <c r="J53" s="38"/>
      <c r="K53" s="38"/>
      <c r="L53" s="38"/>
      <c r="M53" s="55"/>
      <c r="N53" s="38"/>
      <c r="O53" s="38"/>
      <c r="P53" s="61" t="s">
        <v>141</v>
      </c>
      <c r="Q53" s="56"/>
      <c r="R53" s="249"/>
      <c r="S53" s="54"/>
      <c r="T53" s="38"/>
      <c r="U53" s="38"/>
      <c r="V53" s="38"/>
      <c r="W53" s="38"/>
      <c r="X53" s="38"/>
      <c r="Y53" s="38"/>
      <c r="Z53" s="38"/>
      <c r="AA53" s="38"/>
      <c r="AB53" s="38"/>
      <c r="AC53" s="38"/>
      <c r="AD53" s="55"/>
      <c r="AE53" s="38"/>
      <c r="AF53" s="38"/>
      <c r="AG53" s="61" t="s">
        <v>141</v>
      </c>
      <c r="AH53" s="56"/>
      <c r="AI53" s="249"/>
      <c r="AJ53" s="54"/>
      <c r="AK53" s="38"/>
      <c r="AL53" s="38"/>
      <c r="AM53" s="38"/>
      <c r="AN53" s="38"/>
      <c r="AO53" s="38"/>
      <c r="AP53" s="38"/>
      <c r="AQ53" s="38"/>
      <c r="AR53" s="38"/>
      <c r="AS53" s="38"/>
      <c r="AT53" s="38"/>
      <c r="AU53" s="55"/>
      <c r="AV53" s="38"/>
      <c r="AW53" s="38"/>
      <c r="AX53" s="61" t="s">
        <v>141</v>
      </c>
      <c r="AY53" s="56"/>
    </row>
    <row r="54" spans="1:51" ht="19.5" thickBot="1">
      <c r="A54" s="250"/>
      <c r="B54" s="91"/>
      <c r="C54" s="285" t="s">
        <v>142</v>
      </c>
      <c r="D54" s="286"/>
      <c r="E54" s="286"/>
      <c r="F54" s="286"/>
      <c r="G54" s="286"/>
      <c r="H54" s="286"/>
      <c r="I54" s="287"/>
      <c r="J54" s="62" t="s">
        <v>138</v>
      </c>
      <c r="K54" s="279">
        <f>G66</f>
        <v>660000</v>
      </c>
      <c r="L54" s="280"/>
      <c r="M54" s="280"/>
      <c r="N54" s="280"/>
      <c r="O54" s="280"/>
      <c r="P54" s="281"/>
      <c r="Q54" s="63"/>
      <c r="R54" s="250"/>
      <c r="S54" s="91"/>
      <c r="T54" s="285" t="s">
        <v>143</v>
      </c>
      <c r="U54" s="286"/>
      <c r="V54" s="286"/>
      <c r="W54" s="286"/>
      <c r="X54" s="286"/>
      <c r="Y54" s="286"/>
      <c r="Z54" s="287"/>
      <c r="AA54" s="62" t="s">
        <v>144</v>
      </c>
      <c r="AB54" s="279">
        <f>O66</f>
        <v>260000</v>
      </c>
      <c r="AC54" s="280"/>
      <c r="AD54" s="280"/>
      <c r="AE54" s="280"/>
      <c r="AF54" s="280"/>
      <c r="AG54" s="281"/>
      <c r="AH54" s="63"/>
      <c r="AI54" s="250"/>
      <c r="AJ54" s="91"/>
      <c r="AK54" s="285" t="s">
        <v>145</v>
      </c>
      <c r="AL54" s="286"/>
      <c r="AM54" s="286"/>
      <c r="AN54" s="286"/>
      <c r="AO54" s="286"/>
      <c r="AP54" s="286"/>
      <c r="AQ54" s="287"/>
      <c r="AR54" s="62" t="s">
        <v>144</v>
      </c>
      <c r="AS54" s="279">
        <f>W66</f>
        <v>170000</v>
      </c>
      <c r="AT54" s="280"/>
      <c r="AU54" s="280"/>
      <c r="AV54" s="280"/>
      <c r="AW54" s="280"/>
      <c r="AX54" s="281"/>
      <c r="AY54" s="63"/>
    </row>
    <row r="55" spans="1:51" ht="11.25" customHeight="1">
      <c r="A55" s="262"/>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row>
    <row r="56" spans="1:51">
      <c r="A56" s="262"/>
      <c r="B56" s="38"/>
      <c r="C56" s="55"/>
      <c r="D56" s="55"/>
      <c r="E56" s="55"/>
      <c r="F56" s="55"/>
      <c r="G56" s="80"/>
      <c r="H56" s="55"/>
      <c r="I56" s="55"/>
      <c r="J56" s="55"/>
      <c r="K56" s="55"/>
      <c r="L56" s="80"/>
      <c r="M56" s="55"/>
      <c r="N56" s="55"/>
      <c r="O56" s="55"/>
      <c r="P56" s="55"/>
      <c r="Q56" s="55"/>
      <c r="R56" s="55"/>
      <c r="S56" s="55"/>
      <c r="T56" s="55"/>
      <c r="U56" s="55"/>
      <c r="V56" s="55"/>
      <c r="W56" s="263" t="s">
        <v>146</v>
      </c>
      <c r="X56" s="263"/>
      <c r="Y56" s="263"/>
      <c r="Z56" s="263"/>
      <c r="AA56" s="55"/>
      <c r="AB56" s="55"/>
      <c r="AC56" s="55"/>
      <c r="AD56" s="55"/>
      <c r="AE56" s="55"/>
      <c r="AF56" s="64"/>
      <c r="AG56" s="55"/>
      <c r="AH56" s="55"/>
      <c r="AI56" s="55"/>
      <c r="AJ56" s="55"/>
      <c r="AK56" s="55"/>
      <c r="AL56" s="55"/>
      <c r="AM56" s="55"/>
      <c r="AN56" s="55"/>
      <c r="AO56" s="55"/>
      <c r="AP56" s="55"/>
      <c r="AQ56" s="55"/>
      <c r="AR56" s="55"/>
      <c r="AS56" s="55"/>
      <c r="AT56" s="55"/>
      <c r="AU56" s="55"/>
      <c r="AV56" s="55"/>
      <c r="AW56" s="55"/>
      <c r="AX56" s="55"/>
      <c r="AY56" s="38"/>
    </row>
    <row r="57" spans="1:51">
      <c r="A57" s="262"/>
      <c r="B57" s="38"/>
      <c r="C57" s="57"/>
      <c r="D57" s="38"/>
      <c r="E57" s="38"/>
      <c r="F57" s="38"/>
      <c r="G57" s="41"/>
      <c r="H57" s="57"/>
      <c r="I57" s="38"/>
      <c r="J57" s="38"/>
      <c r="K57" s="38"/>
      <c r="L57" s="41"/>
      <c r="M57" s="57"/>
      <c r="N57" s="38"/>
      <c r="O57" s="38"/>
      <c r="P57" s="38"/>
      <c r="Q57" s="41"/>
      <c r="R57" s="57"/>
      <c r="S57" s="38"/>
      <c r="T57" s="76">
        <f>試算シミュレーション!C8</f>
        <v>4</v>
      </c>
      <c r="U57" s="38"/>
      <c r="V57" s="41"/>
      <c r="W57" s="264">
        <f>IFERROR(VLOOKUP(T57,AN59:AO70,2),"")</f>
        <v>12</v>
      </c>
      <c r="X57" s="264"/>
      <c r="Y57" s="264"/>
      <c r="Z57" s="264"/>
      <c r="AA57" s="41"/>
      <c r="AB57" s="38"/>
      <c r="AC57" s="38"/>
      <c r="AD57" s="38"/>
      <c r="AE57" s="38"/>
      <c r="AF57" s="38"/>
      <c r="AG57" s="57"/>
      <c r="AH57" s="57"/>
      <c r="AI57" s="57"/>
      <c r="AJ57" s="57"/>
      <c r="AK57" s="38"/>
      <c r="AL57" s="57"/>
      <c r="AM57" s="57"/>
      <c r="AN57" s="57"/>
      <c r="AO57" s="57"/>
      <c r="AP57" s="38"/>
      <c r="AQ57" s="57"/>
      <c r="AR57" s="57"/>
      <c r="AS57" s="57"/>
      <c r="AT57" s="57"/>
      <c r="AU57" s="57"/>
      <c r="AV57" s="57"/>
      <c r="AW57" s="57"/>
      <c r="AX57" s="57"/>
      <c r="AY57" s="38"/>
    </row>
    <row r="58" spans="1:51" ht="11.25" customHeight="1">
      <c r="A58" s="262"/>
      <c r="B58" s="38"/>
      <c r="C58" s="38"/>
      <c r="D58" s="38"/>
      <c r="E58" s="38"/>
      <c r="F58" s="38"/>
      <c r="G58" s="1"/>
      <c r="I58" s="38"/>
      <c r="J58" s="38"/>
      <c r="K58" s="38"/>
      <c r="L58" s="38"/>
      <c r="M58" s="71"/>
      <c r="N58" s="71"/>
      <c r="O58" s="71"/>
      <c r="P58" s="71"/>
      <c r="Q58" s="38"/>
      <c r="R58" s="38"/>
      <c r="S58" s="38"/>
      <c r="T58" s="38"/>
      <c r="U58" s="38"/>
      <c r="V58" s="38"/>
      <c r="W58" s="90"/>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row>
    <row r="59" spans="1:51">
      <c r="A59" s="256" t="s">
        <v>153</v>
      </c>
      <c r="B59" s="257"/>
      <c r="C59" s="258"/>
      <c r="D59" s="252"/>
      <c r="E59" s="253"/>
      <c r="F59" s="254"/>
      <c r="G59" s="252" t="s">
        <v>154</v>
      </c>
      <c r="H59" s="253"/>
      <c r="I59" s="253"/>
      <c r="J59" s="253"/>
      <c r="K59" s="253"/>
      <c r="L59" s="253"/>
      <c r="M59" s="253"/>
      <c r="N59" s="254"/>
      <c r="O59" s="251" t="s">
        <v>155</v>
      </c>
      <c r="P59" s="251"/>
      <c r="Q59" s="251"/>
      <c r="R59" s="251"/>
      <c r="S59" s="251"/>
      <c r="T59" s="251"/>
      <c r="U59" s="251"/>
      <c r="V59" s="251"/>
      <c r="W59" s="251" t="s">
        <v>156</v>
      </c>
      <c r="X59" s="251"/>
      <c r="Y59" s="251"/>
      <c r="Z59" s="251"/>
      <c r="AA59" s="251"/>
      <c r="AB59" s="251"/>
      <c r="AC59" s="251"/>
      <c r="AD59" s="251"/>
      <c r="AN59" s="75">
        <v>1</v>
      </c>
      <c r="AO59" s="75">
        <v>3</v>
      </c>
    </row>
    <row r="60" spans="1:51">
      <c r="A60" s="259"/>
      <c r="B60" s="260"/>
      <c r="C60" s="261"/>
      <c r="D60" s="252" t="s">
        <v>157</v>
      </c>
      <c r="E60" s="253"/>
      <c r="F60" s="254"/>
      <c r="G60" s="255">
        <v>6.2E-2</v>
      </c>
      <c r="H60" s="255"/>
      <c r="I60" s="255"/>
      <c r="J60" s="255"/>
      <c r="K60" s="255"/>
      <c r="L60" s="255"/>
      <c r="M60" s="255"/>
      <c r="N60" s="255"/>
      <c r="O60" s="265">
        <v>2.5000000000000001E-2</v>
      </c>
      <c r="P60" s="265"/>
      <c r="Q60" s="265"/>
      <c r="R60" s="265"/>
      <c r="S60" s="265"/>
      <c r="T60" s="265"/>
      <c r="U60" s="265"/>
      <c r="V60" s="265"/>
      <c r="W60" s="265">
        <v>2.1999999999999999E-2</v>
      </c>
      <c r="X60" s="265"/>
      <c r="Y60" s="265"/>
      <c r="Z60" s="265"/>
      <c r="AA60" s="265"/>
      <c r="AB60" s="265"/>
      <c r="AC60" s="265"/>
      <c r="AD60" s="265"/>
      <c r="AN60" s="75">
        <v>2</v>
      </c>
      <c r="AO60" s="75">
        <v>2</v>
      </c>
    </row>
    <row r="61" spans="1:51">
      <c r="A61" s="256" t="s">
        <v>158</v>
      </c>
      <c r="B61" s="257"/>
      <c r="C61" s="258"/>
      <c r="D61" s="242" t="s">
        <v>159</v>
      </c>
      <c r="E61" s="242"/>
      <c r="F61" s="242"/>
      <c r="G61" s="242" t="s">
        <v>147</v>
      </c>
      <c r="H61" s="242"/>
      <c r="I61" s="242"/>
      <c r="J61" s="242"/>
      <c r="K61" s="242" t="s">
        <v>148</v>
      </c>
      <c r="L61" s="242"/>
      <c r="M61" s="242"/>
      <c r="N61" s="242"/>
      <c r="O61" s="242" t="s">
        <v>149</v>
      </c>
      <c r="P61" s="242"/>
      <c r="Q61" s="242"/>
      <c r="R61" s="242"/>
      <c r="S61" s="242" t="s">
        <v>150</v>
      </c>
      <c r="T61" s="242"/>
      <c r="U61" s="242"/>
      <c r="V61" s="242"/>
      <c r="W61" s="242" t="s">
        <v>151</v>
      </c>
      <c r="X61" s="242"/>
      <c r="Y61" s="242"/>
      <c r="Z61" s="242"/>
      <c r="AA61" s="242" t="s">
        <v>152</v>
      </c>
      <c r="AB61" s="242"/>
      <c r="AC61" s="242"/>
      <c r="AD61" s="242"/>
      <c r="AN61" s="75">
        <v>3</v>
      </c>
      <c r="AO61" s="75">
        <v>1</v>
      </c>
    </row>
    <row r="62" spans="1:51">
      <c r="A62" s="259"/>
      <c r="B62" s="260"/>
      <c r="C62" s="261"/>
      <c r="D62" s="242">
        <v>0</v>
      </c>
      <c r="E62" s="242"/>
      <c r="F62" s="242"/>
      <c r="G62" s="243">
        <v>23000</v>
      </c>
      <c r="H62" s="243"/>
      <c r="I62" s="243"/>
      <c r="J62" s="243"/>
      <c r="K62" s="243">
        <v>19000</v>
      </c>
      <c r="L62" s="243"/>
      <c r="M62" s="243"/>
      <c r="N62" s="243"/>
      <c r="O62" s="243">
        <v>13000</v>
      </c>
      <c r="P62" s="243"/>
      <c r="Q62" s="243"/>
      <c r="R62" s="243"/>
      <c r="S62" s="241">
        <v>0</v>
      </c>
      <c r="T62" s="241"/>
      <c r="U62" s="241"/>
      <c r="V62" s="241"/>
      <c r="W62" s="241">
        <v>15000</v>
      </c>
      <c r="X62" s="241"/>
      <c r="Y62" s="241"/>
      <c r="Z62" s="241"/>
      <c r="AA62" s="241">
        <v>0</v>
      </c>
      <c r="AB62" s="241"/>
      <c r="AC62" s="241"/>
      <c r="AD62" s="241"/>
      <c r="AN62" s="75">
        <v>4</v>
      </c>
      <c r="AO62" s="75">
        <v>12</v>
      </c>
    </row>
    <row r="63" spans="1:51">
      <c r="A63" s="259"/>
      <c r="B63" s="260"/>
      <c r="C63" s="261"/>
      <c r="D63" s="242">
        <v>2</v>
      </c>
      <c r="E63" s="242"/>
      <c r="F63" s="242"/>
      <c r="G63" s="243">
        <f t="shared" ref="G63" si="16">G62*0.8</f>
        <v>18400</v>
      </c>
      <c r="H63" s="243"/>
      <c r="I63" s="243"/>
      <c r="J63" s="243"/>
      <c r="K63" s="243">
        <f t="shared" ref="K63" si="17">K62*0.8</f>
        <v>15200</v>
      </c>
      <c r="L63" s="243"/>
      <c r="M63" s="243"/>
      <c r="N63" s="243"/>
      <c r="O63" s="243">
        <f t="shared" ref="O63" si="18">O62*0.8</f>
        <v>10400</v>
      </c>
      <c r="P63" s="243"/>
      <c r="Q63" s="243"/>
      <c r="R63" s="243"/>
      <c r="S63" s="241">
        <f t="shared" ref="S63:S65" si="19">S62*0.8</f>
        <v>0</v>
      </c>
      <c r="T63" s="241"/>
      <c r="U63" s="241"/>
      <c r="V63" s="241"/>
      <c r="W63" s="241">
        <f t="shared" ref="W63" si="20">W62*0.8</f>
        <v>12000</v>
      </c>
      <c r="X63" s="241"/>
      <c r="Y63" s="241"/>
      <c r="Z63" s="241"/>
      <c r="AA63" s="241">
        <f t="shared" ref="AA63" si="21">AA62*0.8</f>
        <v>0</v>
      </c>
      <c r="AB63" s="241"/>
      <c r="AC63" s="241"/>
      <c r="AD63" s="241"/>
      <c r="AN63" s="75">
        <v>5</v>
      </c>
      <c r="AO63" s="75">
        <v>11</v>
      </c>
    </row>
    <row r="64" spans="1:51">
      <c r="A64" s="259"/>
      <c r="B64" s="260"/>
      <c r="C64" s="261"/>
      <c r="D64" s="242">
        <v>5</v>
      </c>
      <c r="E64" s="242"/>
      <c r="F64" s="242"/>
      <c r="G64" s="243">
        <f t="shared" ref="G64" si="22">G62*0.5</f>
        <v>11500</v>
      </c>
      <c r="H64" s="243"/>
      <c r="I64" s="243"/>
      <c r="J64" s="243"/>
      <c r="K64" s="243">
        <f>K62*0.5</f>
        <v>9500</v>
      </c>
      <c r="L64" s="243"/>
      <c r="M64" s="243"/>
      <c r="N64" s="243"/>
      <c r="O64" s="243">
        <f t="shared" ref="O64" si="23">O62*0.5</f>
        <v>6500</v>
      </c>
      <c r="P64" s="243"/>
      <c r="Q64" s="243"/>
      <c r="R64" s="243"/>
      <c r="S64" s="241">
        <f t="shared" si="19"/>
        <v>0</v>
      </c>
      <c r="T64" s="241"/>
      <c r="U64" s="241"/>
      <c r="V64" s="241"/>
      <c r="W64" s="241">
        <f t="shared" ref="W64" si="24">W62*0.5</f>
        <v>7500</v>
      </c>
      <c r="X64" s="241"/>
      <c r="Y64" s="241"/>
      <c r="Z64" s="241"/>
      <c r="AA64" s="241">
        <f>AA62*0.8</f>
        <v>0</v>
      </c>
      <c r="AB64" s="241"/>
      <c r="AC64" s="241"/>
      <c r="AD64" s="241"/>
      <c r="AN64" s="75">
        <v>6</v>
      </c>
      <c r="AO64" s="75">
        <v>10</v>
      </c>
    </row>
    <row r="65" spans="1:41">
      <c r="A65" s="266"/>
      <c r="B65" s="267"/>
      <c r="C65" s="268"/>
      <c r="D65" s="242">
        <v>7</v>
      </c>
      <c r="E65" s="242"/>
      <c r="F65" s="242"/>
      <c r="G65" s="243">
        <f t="shared" ref="G65" si="25">G62*0.3</f>
        <v>6900</v>
      </c>
      <c r="H65" s="243"/>
      <c r="I65" s="243"/>
      <c r="J65" s="243"/>
      <c r="K65" s="243">
        <f t="shared" ref="K65" si="26">K62*0.3</f>
        <v>5700</v>
      </c>
      <c r="L65" s="243"/>
      <c r="M65" s="243"/>
      <c r="N65" s="243"/>
      <c r="O65" s="243">
        <f t="shared" ref="O65" si="27">O62*0.3</f>
        <v>3900</v>
      </c>
      <c r="P65" s="243"/>
      <c r="Q65" s="243"/>
      <c r="R65" s="243"/>
      <c r="S65" s="241">
        <f t="shared" si="19"/>
        <v>0</v>
      </c>
      <c r="T65" s="241"/>
      <c r="U65" s="241"/>
      <c r="V65" s="241"/>
      <c r="W65" s="241">
        <f t="shared" ref="W65" si="28">W62*0.3</f>
        <v>4500</v>
      </c>
      <c r="X65" s="241"/>
      <c r="Y65" s="241"/>
      <c r="Z65" s="241"/>
      <c r="AA65" s="241">
        <f>AA62*0.8</f>
        <v>0</v>
      </c>
      <c r="AB65" s="241"/>
      <c r="AC65" s="241"/>
      <c r="AD65" s="241"/>
      <c r="AN65" s="75">
        <v>7</v>
      </c>
      <c r="AO65" s="75">
        <v>9</v>
      </c>
    </row>
    <row r="66" spans="1:41">
      <c r="A66" s="251" t="s">
        <v>160</v>
      </c>
      <c r="B66" s="251"/>
      <c r="C66" s="251"/>
      <c r="D66" s="251"/>
      <c r="E66" s="251"/>
      <c r="F66" s="251"/>
      <c r="G66" s="240">
        <v>660000</v>
      </c>
      <c r="H66" s="240"/>
      <c r="I66" s="240"/>
      <c r="J66" s="240"/>
      <c r="K66" s="240"/>
      <c r="L66" s="240"/>
      <c r="M66" s="240"/>
      <c r="N66" s="240"/>
      <c r="O66" s="240">
        <v>260000</v>
      </c>
      <c r="P66" s="240"/>
      <c r="Q66" s="240"/>
      <c r="R66" s="240"/>
      <c r="S66" s="240"/>
      <c r="T66" s="240"/>
      <c r="U66" s="240"/>
      <c r="V66" s="240"/>
      <c r="W66" s="240">
        <v>170000</v>
      </c>
      <c r="X66" s="240"/>
      <c r="Y66" s="240"/>
      <c r="Z66" s="240"/>
      <c r="AA66" s="240"/>
      <c r="AB66" s="240"/>
      <c r="AC66" s="240"/>
      <c r="AD66" s="240"/>
      <c r="AN66" s="75">
        <v>8</v>
      </c>
      <c r="AO66" s="75">
        <v>8</v>
      </c>
    </row>
    <row r="67" spans="1:41">
      <c r="AN67" s="75">
        <v>9</v>
      </c>
      <c r="AO67" s="75">
        <v>7</v>
      </c>
    </row>
    <row r="68" spans="1:41">
      <c r="A68" s="81" t="s">
        <v>182</v>
      </c>
      <c r="B68"/>
      <c r="AN68" s="75">
        <v>10</v>
      </c>
      <c r="AO68" s="75">
        <v>6</v>
      </c>
    </row>
    <row r="69" spans="1:41">
      <c r="A69" s="242" t="s">
        <v>103</v>
      </c>
      <c r="B69" s="242"/>
      <c r="C69" s="84" t="s">
        <v>104</v>
      </c>
      <c r="D69" s="88" t="s">
        <v>172</v>
      </c>
      <c r="E69" s="242" t="s">
        <v>183</v>
      </c>
      <c r="F69" s="242"/>
      <c r="G69" s="242"/>
      <c r="H69" s="396" t="s">
        <v>157</v>
      </c>
      <c r="I69" s="396"/>
      <c r="J69" s="396"/>
      <c r="K69" s="396" t="s">
        <v>184</v>
      </c>
      <c r="L69" s="396"/>
      <c r="M69" s="396"/>
      <c r="N69" s="86" t="s">
        <v>187</v>
      </c>
      <c r="O69" s="86"/>
      <c r="P69" s="86"/>
      <c r="Q69" s="86"/>
      <c r="R69" s="242" t="s">
        <v>186</v>
      </c>
      <c r="S69" s="242"/>
      <c r="T69" s="242"/>
      <c r="U69" s="242"/>
      <c r="V69" s="242"/>
      <c r="W69" s="242"/>
      <c r="X69" s="242" t="s">
        <v>95</v>
      </c>
      <c r="Y69" s="242"/>
      <c r="Z69" s="242"/>
      <c r="AA69" s="242" t="s">
        <v>185</v>
      </c>
      <c r="AB69" s="242"/>
      <c r="AC69" s="242"/>
      <c r="AD69" s="242" t="s">
        <v>202</v>
      </c>
      <c r="AE69" s="242"/>
      <c r="AF69" s="242"/>
      <c r="AG69" s="242"/>
      <c r="AN69" s="75">
        <v>11</v>
      </c>
      <c r="AO69" s="75">
        <v>5</v>
      </c>
    </row>
    <row r="70" spans="1:41">
      <c r="A70" s="398"/>
      <c r="B70" s="398"/>
      <c r="C70" s="87"/>
      <c r="D70" s="87"/>
      <c r="E70" s="398"/>
      <c r="F70" s="398"/>
      <c r="G70" s="398"/>
      <c r="H70" s="398"/>
      <c r="I70" s="398"/>
      <c r="J70" s="398"/>
      <c r="K70" s="398"/>
      <c r="L70" s="398"/>
      <c r="M70" s="398"/>
      <c r="N70" s="398"/>
      <c r="O70" s="398"/>
      <c r="P70" s="398"/>
      <c r="Q70" s="398"/>
      <c r="R70" s="398"/>
      <c r="S70" s="398"/>
      <c r="T70" s="398"/>
      <c r="U70" s="398"/>
      <c r="V70" s="398"/>
      <c r="W70" s="398"/>
      <c r="X70" s="397">
        <f>H46</f>
        <v>5700</v>
      </c>
      <c r="Y70" s="397"/>
      <c r="Z70" s="397"/>
      <c r="AA70" s="398"/>
      <c r="AB70" s="398"/>
      <c r="AC70" s="398"/>
      <c r="AD70" s="398"/>
      <c r="AE70" s="398"/>
      <c r="AF70" s="398"/>
      <c r="AG70" s="398"/>
      <c r="AN70" s="75">
        <v>12</v>
      </c>
      <c r="AO70" s="75">
        <v>4</v>
      </c>
    </row>
    <row r="71" spans="1:41">
      <c r="A71" s="242">
        <f>試算シミュレーション!C25</f>
        <v>0</v>
      </c>
      <c r="B71" s="242"/>
      <c r="C71" s="85">
        <f>IF(AND(39&lt;A71,A71&lt;65),1,0)</f>
        <v>0</v>
      </c>
      <c r="D71" s="89">
        <f t="shared" ref="D71:D77" si="29">IF(AND(0&lt;A71,A71&lt;5),1,0)</f>
        <v>0</v>
      </c>
      <c r="E71" s="251" t="b">
        <f>IF(AH71=1,W57)</f>
        <v>0</v>
      </c>
      <c r="F71" s="251"/>
      <c r="G71" s="251"/>
      <c r="H71" s="396">
        <f>AE4*G60</f>
        <v>0</v>
      </c>
      <c r="I71" s="396"/>
      <c r="J71" s="396"/>
      <c r="K71" s="397">
        <f>IF(AH71=1,H40,0)</f>
        <v>0</v>
      </c>
      <c r="L71" s="397"/>
      <c r="M71" s="397"/>
      <c r="N71" s="400">
        <f>IF(D71=1,K71/2,0)</f>
        <v>0</v>
      </c>
      <c r="O71" s="400"/>
      <c r="P71" s="400"/>
      <c r="Q71" s="400"/>
      <c r="R71" s="396">
        <f>H71+K71-N71</f>
        <v>0</v>
      </c>
      <c r="S71" s="396"/>
      <c r="T71" s="396"/>
      <c r="U71" s="396"/>
      <c r="V71" s="396"/>
      <c r="W71" s="396"/>
      <c r="X71" s="396">
        <f>IF(AH71=0,0,$X$70/COUNT($E$71:$E$77))</f>
        <v>0</v>
      </c>
      <c r="Y71" s="396"/>
      <c r="Z71" s="396"/>
      <c r="AA71" s="240">
        <f>R71+X71</f>
        <v>0</v>
      </c>
      <c r="AB71" s="240"/>
      <c r="AC71" s="240"/>
      <c r="AD71" s="396">
        <f>IFERROR(ROUND(AA71*$W$57/12,),"")</f>
        <v>0</v>
      </c>
      <c r="AE71" s="396"/>
      <c r="AF71" s="396"/>
      <c r="AG71" s="396"/>
      <c r="AH71">
        <f>IF(AND(0&lt;試算シミュレーション!C25,試算シミュレーション!C25&lt;75),1,0)</f>
        <v>0</v>
      </c>
      <c r="AI71" s="235" t="e">
        <f>ROUNDUP(G66/AD78*AD71,0)</f>
        <v>#DIV/0!</v>
      </c>
      <c r="AJ71" s="235"/>
      <c r="AK71" s="235"/>
      <c r="AL71" s="235"/>
    </row>
    <row r="72" spans="1:41">
      <c r="A72" s="242">
        <f>試算シミュレーション!C27</f>
        <v>0</v>
      </c>
      <c r="B72" s="242"/>
      <c r="C72" s="83">
        <f t="shared" ref="C72:C77" si="30">IF(AND(39&lt;A72,A72&lt;65),1,0)</f>
        <v>0</v>
      </c>
      <c r="D72" s="89">
        <f t="shared" si="29"/>
        <v>0</v>
      </c>
      <c r="E72" s="251" t="b">
        <f>IF(AH72=1,W57)</f>
        <v>0</v>
      </c>
      <c r="F72" s="251"/>
      <c r="G72" s="251"/>
      <c r="H72" s="396">
        <f>AE6*G60</f>
        <v>0</v>
      </c>
      <c r="I72" s="396"/>
      <c r="J72" s="396"/>
      <c r="K72" s="397">
        <f>IF(AH72=1,H40,0)</f>
        <v>0</v>
      </c>
      <c r="L72" s="397"/>
      <c r="M72" s="397"/>
      <c r="N72" s="400">
        <f t="shared" ref="N72:N77" si="31">IF(D72=1,K72/2,0)</f>
        <v>0</v>
      </c>
      <c r="O72" s="400"/>
      <c r="P72" s="400"/>
      <c r="Q72" s="400"/>
      <c r="R72" s="396">
        <f t="shared" ref="R72:R77" si="32">H72+K72-N72</f>
        <v>0</v>
      </c>
      <c r="S72" s="396"/>
      <c r="T72" s="396"/>
      <c r="U72" s="396"/>
      <c r="V72" s="396"/>
      <c r="W72" s="396"/>
      <c r="X72" s="396">
        <f t="shared" ref="X72:X76" si="33">IF(AH72=0,0,$X$70/COUNT($E$71:$E$77))</f>
        <v>0</v>
      </c>
      <c r="Y72" s="396"/>
      <c r="Z72" s="396"/>
      <c r="AA72" s="240">
        <f t="shared" ref="AA72:AA77" si="34">R72+X72</f>
        <v>0</v>
      </c>
      <c r="AB72" s="240"/>
      <c r="AC72" s="240"/>
      <c r="AD72" s="396">
        <f t="shared" ref="AD72:AD77" si="35">IFERROR(ROUND(AA72*$W$57/12,),"")</f>
        <v>0</v>
      </c>
      <c r="AE72" s="396"/>
      <c r="AF72" s="396"/>
      <c r="AG72" s="396"/>
      <c r="AH72">
        <f>IF(AND(0&lt;試算シミュレーション!C27,試算シミュレーション!C27&lt;75),1,0)</f>
        <v>0</v>
      </c>
      <c r="AI72" s="235" t="e">
        <f>ROUNDDOWN(G66/AD78*AD72,0)</f>
        <v>#DIV/0!</v>
      </c>
      <c r="AJ72" s="235"/>
      <c r="AK72" s="235"/>
      <c r="AL72" s="235"/>
    </row>
    <row r="73" spans="1:41">
      <c r="A73" s="242">
        <f>試算シミュレーション!C29</f>
        <v>0</v>
      </c>
      <c r="B73" s="242"/>
      <c r="C73" s="83">
        <f t="shared" si="30"/>
        <v>0</v>
      </c>
      <c r="D73" s="89">
        <f t="shared" si="29"/>
        <v>0</v>
      </c>
      <c r="E73" s="251" t="b">
        <f>IF(AH73=1,W57)</f>
        <v>0</v>
      </c>
      <c r="F73" s="251"/>
      <c r="G73" s="251"/>
      <c r="H73" s="396">
        <f>AE8*G60</f>
        <v>0</v>
      </c>
      <c r="I73" s="396"/>
      <c r="J73" s="396"/>
      <c r="K73" s="397">
        <f>IF(AH73=1,H40,0)</f>
        <v>0</v>
      </c>
      <c r="L73" s="397"/>
      <c r="M73" s="397"/>
      <c r="N73" s="400">
        <f t="shared" si="31"/>
        <v>0</v>
      </c>
      <c r="O73" s="400"/>
      <c r="P73" s="400"/>
      <c r="Q73" s="400"/>
      <c r="R73" s="396">
        <f t="shared" si="32"/>
        <v>0</v>
      </c>
      <c r="S73" s="396"/>
      <c r="T73" s="396"/>
      <c r="U73" s="396"/>
      <c r="V73" s="396"/>
      <c r="W73" s="396"/>
      <c r="X73" s="396">
        <f t="shared" si="33"/>
        <v>0</v>
      </c>
      <c r="Y73" s="396"/>
      <c r="Z73" s="396"/>
      <c r="AA73" s="240">
        <f t="shared" si="34"/>
        <v>0</v>
      </c>
      <c r="AB73" s="240"/>
      <c r="AC73" s="240"/>
      <c r="AD73" s="396">
        <f t="shared" si="35"/>
        <v>0</v>
      </c>
      <c r="AE73" s="396"/>
      <c r="AF73" s="396"/>
      <c r="AG73" s="396"/>
      <c r="AH73">
        <f>IF(AND(0&lt;試算シミュレーション!C29,試算シミュレーション!C29&lt;75),1,0)</f>
        <v>0</v>
      </c>
      <c r="AI73" s="235" t="e">
        <f>ROUNDDOWN(G66/AD78*AD73,0)</f>
        <v>#DIV/0!</v>
      </c>
      <c r="AJ73" s="235"/>
      <c r="AK73" s="235"/>
      <c r="AL73" s="235"/>
    </row>
    <row r="74" spans="1:41">
      <c r="A74" s="242">
        <f>試算シミュレーション!C31</f>
        <v>0</v>
      </c>
      <c r="B74" s="242"/>
      <c r="C74" s="83">
        <f t="shared" si="30"/>
        <v>0</v>
      </c>
      <c r="D74" s="89">
        <f t="shared" si="29"/>
        <v>0</v>
      </c>
      <c r="E74" s="251" t="b">
        <f>IF(AH74=1,W57)</f>
        <v>0</v>
      </c>
      <c r="F74" s="251"/>
      <c r="G74" s="251"/>
      <c r="H74" s="396">
        <f>AE10*G60</f>
        <v>0</v>
      </c>
      <c r="I74" s="396"/>
      <c r="J74" s="396"/>
      <c r="K74" s="397">
        <f>IF(AH74=1,H40,0)</f>
        <v>0</v>
      </c>
      <c r="L74" s="397"/>
      <c r="M74" s="397"/>
      <c r="N74" s="400">
        <f t="shared" si="31"/>
        <v>0</v>
      </c>
      <c r="O74" s="400"/>
      <c r="P74" s="400"/>
      <c r="Q74" s="400"/>
      <c r="R74" s="396">
        <f t="shared" si="32"/>
        <v>0</v>
      </c>
      <c r="S74" s="396"/>
      <c r="T74" s="396"/>
      <c r="U74" s="396"/>
      <c r="V74" s="396"/>
      <c r="W74" s="396"/>
      <c r="X74" s="396">
        <f t="shared" si="33"/>
        <v>0</v>
      </c>
      <c r="Y74" s="396"/>
      <c r="Z74" s="396"/>
      <c r="AA74" s="240">
        <f t="shared" si="34"/>
        <v>0</v>
      </c>
      <c r="AB74" s="240"/>
      <c r="AC74" s="240"/>
      <c r="AD74" s="396">
        <f t="shared" ref="AD74:AD76" si="36">IFERROR(ROUND(AA74*$W$57/12,),"")</f>
        <v>0</v>
      </c>
      <c r="AE74" s="396"/>
      <c r="AF74" s="396"/>
      <c r="AG74" s="396"/>
      <c r="AH74">
        <f>IF(AND(0&lt;試算シミュレーション!C31,試算シミュレーション!C31&lt;75),1,0)</f>
        <v>0</v>
      </c>
      <c r="AI74" s="235" t="e">
        <f>ROUNDDOWN(G66/AD78*AD74,0)</f>
        <v>#DIV/0!</v>
      </c>
      <c r="AJ74" s="235"/>
      <c r="AK74" s="235"/>
      <c r="AL74" s="235"/>
    </row>
    <row r="75" spans="1:41">
      <c r="A75" s="242">
        <f>試算シミュレーション!C33</f>
        <v>0</v>
      </c>
      <c r="B75" s="242"/>
      <c r="C75" s="83">
        <f t="shared" si="30"/>
        <v>0</v>
      </c>
      <c r="D75" s="89">
        <f t="shared" si="29"/>
        <v>0</v>
      </c>
      <c r="E75" s="251" t="b">
        <f>IF(AH75=1,W57)</f>
        <v>0</v>
      </c>
      <c r="F75" s="251"/>
      <c r="G75" s="251"/>
      <c r="H75" s="396">
        <f>AE12*G60</f>
        <v>0</v>
      </c>
      <c r="I75" s="396"/>
      <c r="J75" s="396"/>
      <c r="K75" s="397">
        <f>IF(AH75=1,H40,0)</f>
        <v>0</v>
      </c>
      <c r="L75" s="397"/>
      <c r="M75" s="397"/>
      <c r="N75" s="400">
        <f t="shared" si="31"/>
        <v>0</v>
      </c>
      <c r="O75" s="400"/>
      <c r="P75" s="400"/>
      <c r="Q75" s="400"/>
      <c r="R75" s="396">
        <f t="shared" si="32"/>
        <v>0</v>
      </c>
      <c r="S75" s="396"/>
      <c r="T75" s="396"/>
      <c r="U75" s="396"/>
      <c r="V75" s="396"/>
      <c r="W75" s="396"/>
      <c r="X75" s="396">
        <f t="shared" si="33"/>
        <v>0</v>
      </c>
      <c r="Y75" s="396"/>
      <c r="Z75" s="396"/>
      <c r="AA75" s="240">
        <f t="shared" si="34"/>
        <v>0</v>
      </c>
      <c r="AB75" s="240"/>
      <c r="AC75" s="240"/>
      <c r="AD75" s="396">
        <f t="shared" si="36"/>
        <v>0</v>
      </c>
      <c r="AE75" s="396"/>
      <c r="AF75" s="396"/>
      <c r="AG75" s="396"/>
      <c r="AH75">
        <f>IF(AND(0&lt;試算シミュレーション!C33,試算シミュレーション!C33&lt;75),1,0)</f>
        <v>0</v>
      </c>
      <c r="AI75" s="235" t="e">
        <f>ROUNDDOWN(G66/AD78*AD75,0)</f>
        <v>#DIV/0!</v>
      </c>
      <c r="AJ75" s="235"/>
      <c r="AK75" s="235"/>
      <c r="AL75" s="235"/>
    </row>
    <row r="76" spans="1:41">
      <c r="A76" s="242">
        <f>試算シミュレーション!C35</f>
        <v>0</v>
      </c>
      <c r="B76" s="242"/>
      <c r="C76" s="83">
        <f t="shared" si="30"/>
        <v>0</v>
      </c>
      <c r="D76" s="89">
        <f t="shared" si="29"/>
        <v>0</v>
      </c>
      <c r="E76" s="251" t="b">
        <f>IF(AH76=1,W57)</f>
        <v>0</v>
      </c>
      <c r="F76" s="251"/>
      <c r="G76" s="251"/>
      <c r="H76" s="396">
        <f>AE14*G60</f>
        <v>0</v>
      </c>
      <c r="I76" s="396"/>
      <c r="J76" s="396"/>
      <c r="K76" s="397">
        <f>IF(AH76=1,H40,0)</f>
        <v>0</v>
      </c>
      <c r="L76" s="397"/>
      <c r="M76" s="397"/>
      <c r="N76" s="400">
        <f t="shared" si="31"/>
        <v>0</v>
      </c>
      <c r="O76" s="400"/>
      <c r="P76" s="400"/>
      <c r="Q76" s="400"/>
      <c r="R76" s="396">
        <f t="shared" si="32"/>
        <v>0</v>
      </c>
      <c r="S76" s="396"/>
      <c r="T76" s="396"/>
      <c r="U76" s="396"/>
      <c r="V76" s="396"/>
      <c r="W76" s="396"/>
      <c r="X76" s="396">
        <f t="shared" si="33"/>
        <v>0</v>
      </c>
      <c r="Y76" s="396"/>
      <c r="Z76" s="396"/>
      <c r="AA76" s="240">
        <f t="shared" si="34"/>
        <v>0</v>
      </c>
      <c r="AB76" s="240"/>
      <c r="AC76" s="240"/>
      <c r="AD76" s="396">
        <f t="shared" si="36"/>
        <v>0</v>
      </c>
      <c r="AE76" s="396"/>
      <c r="AF76" s="396"/>
      <c r="AG76" s="396"/>
      <c r="AH76">
        <f>IF(AND(0&lt;試算シミュレーション!C35,試算シミュレーション!C35&lt;75),1,0)</f>
        <v>0</v>
      </c>
      <c r="AI76" s="235" t="e">
        <f>ROUNDDOWN(G66/AD78*AD76,0)</f>
        <v>#DIV/0!</v>
      </c>
      <c r="AJ76" s="235"/>
      <c r="AK76" s="235"/>
      <c r="AL76" s="235"/>
    </row>
    <row r="77" spans="1:41">
      <c r="A77" s="242">
        <f>試算シミュレーション!C37</f>
        <v>0</v>
      </c>
      <c r="B77" s="242"/>
      <c r="C77" s="83">
        <f t="shared" si="30"/>
        <v>0</v>
      </c>
      <c r="D77" s="89">
        <f t="shared" si="29"/>
        <v>0</v>
      </c>
      <c r="E77" s="251" t="b">
        <f>IF(AH77=1,W57)</f>
        <v>0</v>
      </c>
      <c r="F77" s="251"/>
      <c r="G77" s="251"/>
      <c r="H77" s="396">
        <f>AE16*G60</f>
        <v>0</v>
      </c>
      <c r="I77" s="396"/>
      <c r="J77" s="396"/>
      <c r="K77" s="397">
        <f>IF(AH77=1,H40,0)</f>
        <v>0</v>
      </c>
      <c r="L77" s="397"/>
      <c r="M77" s="397"/>
      <c r="N77" s="400">
        <f t="shared" si="31"/>
        <v>0</v>
      </c>
      <c r="O77" s="400"/>
      <c r="P77" s="400"/>
      <c r="Q77" s="400"/>
      <c r="R77" s="396">
        <f t="shared" si="32"/>
        <v>0</v>
      </c>
      <c r="S77" s="396"/>
      <c r="T77" s="396"/>
      <c r="U77" s="396"/>
      <c r="V77" s="396"/>
      <c r="W77" s="396"/>
      <c r="X77" s="396">
        <f>IF(AH77=0,0,$X$70/COUNT($E$71:$E$77))</f>
        <v>0</v>
      </c>
      <c r="Y77" s="396"/>
      <c r="Z77" s="396"/>
      <c r="AA77" s="240">
        <f t="shared" si="34"/>
        <v>0</v>
      </c>
      <c r="AB77" s="240"/>
      <c r="AC77" s="240"/>
      <c r="AD77" s="396">
        <f t="shared" si="35"/>
        <v>0</v>
      </c>
      <c r="AE77" s="396"/>
      <c r="AF77" s="396"/>
      <c r="AG77" s="396"/>
      <c r="AH77">
        <f>IF(AND(0&lt;試算シミュレーション!C37,試算シミュレーション!C37&lt;75),1,0)</f>
        <v>0</v>
      </c>
      <c r="AI77" s="235" t="e">
        <f>ROUNDDOWN(G66/AD78*AD77,0)</f>
        <v>#DIV/0!</v>
      </c>
      <c r="AJ77" s="235"/>
      <c r="AK77" s="235"/>
      <c r="AL77" s="235"/>
    </row>
    <row r="78" spans="1:41">
      <c r="A78" s="41"/>
      <c r="B78" s="41"/>
      <c r="C78" s="38"/>
      <c r="D78" s="38"/>
      <c r="E78" s="1"/>
      <c r="F78" s="1"/>
      <c r="G78" s="1"/>
      <c r="H78" s="97"/>
      <c r="I78" s="97"/>
      <c r="J78" s="97"/>
      <c r="K78" s="97"/>
      <c r="L78" s="97"/>
      <c r="M78" s="97"/>
      <c r="N78" s="99"/>
      <c r="O78" s="99"/>
      <c r="P78" s="98"/>
      <c r="Q78" s="98"/>
      <c r="R78" s="97"/>
      <c r="S78" s="97"/>
      <c r="T78" s="97"/>
      <c r="U78" s="97"/>
      <c r="V78" s="97"/>
      <c r="W78" s="97"/>
      <c r="X78" s="97"/>
      <c r="Y78" s="97"/>
      <c r="Z78" s="97"/>
      <c r="AA78" s="240">
        <f>SUM(AA71:AC77)</f>
        <v>0</v>
      </c>
      <c r="AB78" s="240"/>
      <c r="AC78" s="240"/>
      <c r="AD78" s="401">
        <f>SUM(AD71:AF77)</f>
        <v>0</v>
      </c>
      <c r="AE78" s="402"/>
      <c r="AF78" s="402"/>
      <c r="AG78" s="403"/>
    </row>
    <row r="79" spans="1:41" ht="22.5" customHeight="1">
      <c r="B79"/>
      <c r="C79" s="38"/>
    </row>
    <row r="80" spans="1:41">
      <c r="A80" s="81" t="s">
        <v>155</v>
      </c>
    </row>
    <row r="81" spans="1:38">
      <c r="A81" s="242" t="s">
        <v>103</v>
      </c>
      <c r="B81" s="242"/>
      <c r="C81" s="84" t="s">
        <v>104</v>
      </c>
      <c r="D81" s="88" t="s">
        <v>172</v>
      </c>
      <c r="E81" s="242" t="s">
        <v>183</v>
      </c>
      <c r="F81" s="242"/>
      <c r="G81" s="242"/>
      <c r="H81" s="396" t="s">
        <v>157</v>
      </c>
      <c r="I81" s="396"/>
      <c r="J81" s="396"/>
      <c r="K81" s="396" t="s">
        <v>184</v>
      </c>
      <c r="L81" s="396"/>
      <c r="M81" s="396"/>
      <c r="N81" s="86" t="s">
        <v>187</v>
      </c>
      <c r="O81" s="86"/>
      <c r="P81" s="86"/>
      <c r="Q81" s="86"/>
      <c r="R81" s="242" t="s">
        <v>186</v>
      </c>
      <c r="S81" s="242"/>
      <c r="T81" s="242"/>
      <c r="U81" s="242"/>
      <c r="V81" s="242"/>
      <c r="W81" s="242"/>
      <c r="X81" s="242" t="s">
        <v>95</v>
      </c>
      <c r="Y81" s="242"/>
      <c r="Z81" s="242"/>
      <c r="AA81" s="242" t="s">
        <v>185</v>
      </c>
      <c r="AB81" s="242"/>
      <c r="AC81" s="242"/>
      <c r="AD81" s="242" t="s">
        <v>202</v>
      </c>
      <c r="AE81" s="242"/>
      <c r="AF81" s="242"/>
      <c r="AG81" s="242"/>
    </row>
    <row r="82" spans="1:38">
      <c r="A82" s="398"/>
      <c r="B82" s="398"/>
      <c r="C82" s="87"/>
      <c r="D82" s="87"/>
      <c r="E82" s="398"/>
      <c r="F82" s="398"/>
      <c r="G82" s="398"/>
      <c r="H82" s="398"/>
      <c r="I82" s="398"/>
      <c r="J82" s="398"/>
      <c r="K82" s="398"/>
      <c r="L82" s="398"/>
      <c r="M82" s="398"/>
      <c r="N82" s="398"/>
      <c r="O82" s="398"/>
      <c r="P82" s="398"/>
      <c r="Q82" s="398"/>
      <c r="R82" s="398"/>
      <c r="S82" s="398"/>
      <c r="T82" s="398"/>
      <c r="U82" s="398"/>
      <c r="V82" s="398"/>
      <c r="W82" s="398"/>
      <c r="X82" s="398"/>
      <c r="Y82" s="398"/>
      <c r="Z82" s="398"/>
      <c r="AA82" s="398"/>
      <c r="AB82" s="398"/>
      <c r="AC82" s="398"/>
      <c r="AD82" s="398"/>
      <c r="AE82" s="398"/>
      <c r="AF82" s="398"/>
      <c r="AG82" s="398"/>
    </row>
    <row r="83" spans="1:38">
      <c r="A83" s="242">
        <f>試算シミュレーション!C25</f>
        <v>0</v>
      </c>
      <c r="B83" s="242"/>
      <c r="C83" s="85">
        <f>IF(AND(39&lt;A83,A83&lt;65),1,0)</f>
        <v>0</v>
      </c>
      <c r="D83" s="89">
        <f>IF(AND(0&lt;A83,A83&lt;5),1,0)</f>
        <v>0</v>
      </c>
      <c r="E83" s="251" t="b">
        <f t="shared" ref="E83:E89" si="37">E71</f>
        <v>0</v>
      </c>
      <c r="F83" s="251"/>
      <c r="G83" s="251"/>
      <c r="H83" s="396">
        <f>AE4*O60</f>
        <v>0</v>
      </c>
      <c r="I83" s="396"/>
      <c r="J83" s="396"/>
      <c r="K83" s="397">
        <f>IF(AH83=1,Y40,0)</f>
        <v>0</v>
      </c>
      <c r="L83" s="397"/>
      <c r="M83" s="397"/>
      <c r="N83" s="400">
        <f>IF(D83=1,K83/2,0)</f>
        <v>0</v>
      </c>
      <c r="O83" s="400"/>
      <c r="P83" s="400"/>
      <c r="Q83" s="400"/>
      <c r="R83" s="396">
        <f>H83+K83-N83</f>
        <v>0</v>
      </c>
      <c r="S83" s="396"/>
      <c r="T83" s="396"/>
      <c r="U83" s="396"/>
      <c r="V83" s="396"/>
      <c r="W83" s="396"/>
      <c r="X83" s="398"/>
      <c r="Y83" s="398"/>
      <c r="Z83" s="398"/>
      <c r="AA83" s="240">
        <f>R83</f>
        <v>0</v>
      </c>
      <c r="AB83" s="240"/>
      <c r="AC83" s="240"/>
      <c r="AD83" s="396">
        <f>IFERROR(ROUND(AA83*$W$57/12,),"")</f>
        <v>0</v>
      </c>
      <c r="AE83" s="396"/>
      <c r="AF83" s="396"/>
      <c r="AG83" s="396"/>
      <c r="AH83">
        <f>IF(AND(0&lt;試算シミュレーション!C25,試算シミュレーション!C25&lt;75),1,0)</f>
        <v>0</v>
      </c>
      <c r="AI83" s="235" t="e">
        <f>ROUNDUP(O66/AD90*AD83,0)</f>
        <v>#DIV/0!</v>
      </c>
      <c r="AJ83" s="235"/>
      <c r="AK83" s="235"/>
      <c r="AL83" s="235"/>
    </row>
    <row r="84" spans="1:38">
      <c r="A84" s="242">
        <f>試算シミュレーション!C27</f>
        <v>0</v>
      </c>
      <c r="B84" s="242"/>
      <c r="C84" s="83">
        <f t="shared" ref="C84:C89" si="38">IF(AND(39&lt;A84,A84&lt;65),1,0)</f>
        <v>0</v>
      </c>
      <c r="D84" s="89">
        <f>IF(AND(0&lt;A84,A84&lt;5),1,0)</f>
        <v>0</v>
      </c>
      <c r="E84" s="251" t="b">
        <f t="shared" si="37"/>
        <v>0</v>
      </c>
      <c r="F84" s="251"/>
      <c r="G84" s="251"/>
      <c r="H84" s="396">
        <f>AE6*O60</f>
        <v>0</v>
      </c>
      <c r="I84" s="396"/>
      <c r="J84" s="396"/>
      <c r="K84" s="397">
        <f>IF(AH84=1,Y40,0)</f>
        <v>0</v>
      </c>
      <c r="L84" s="397"/>
      <c r="M84" s="397"/>
      <c r="N84" s="400">
        <f t="shared" ref="N84:N89" si="39">IF(D84=1,K84/2,0)</f>
        <v>0</v>
      </c>
      <c r="O84" s="400"/>
      <c r="P84" s="400"/>
      <c r="Q84" s="400"/>
      <c r="R84" s="396">
        <f t="shared" ref="R84:R89" si="40">H84+K84-N84</f>
        <v>0</v>
      </c>
      <c r="S84" s="396"/>
      <c r="T84" s="396"/>
      <c r="U84" s="396"/>
      <c r="V84" s="396"/>
      <c r="W84" s="396"/>
      <c r="X84" s="398"/>
      <c r="Y84" s="398"/>
      <c r="Z84" s="398"/>
      <c r="AA84" s="240">
        <f t="shared" ref="AA84:AA89" si="41">R84</f>
        <v>0</v>
      </c>
      <c r="AB84" s="240"/>
      <c r="AC84" s="240"/>
      <c r="AD84" s="396">
        <f t="shared" ref="AD84:AD89" si="42">IFERROR(ROUND(AA84*$W$57/12,),"")</f>
        <v>0</v>
      </c>
      <c r="AE84" s="396"/>
      <c r="AF84" s="396"/>
      <c r="AG84" s="396"/>
      <c r="AH84">
        <f>IF(AND(0&lt;試算シミュレーション!C27,試算シミュレーション!C27&lt;75),1,0)</f>
        <v>0</v>
      </c>
      <c r="AI84" s="235" t="e">
        <f>ROUNDDOWN(O66/AD90*AD84,0)</f>
        <v>#DIV/0!</v>
      </c>
      <c r="AJ84" s="235"/>
      <c r="AK84" s="235"/>
      <c r="AL84" s="235"/>
    </row>
    <row r="85" spans="1:38">
      <c r="A85" s="242">
        <f>試算シミュレーション!C29</f>
        <v>0</v>
      </c>
      <c r="B85" s="242"/>
      <c r="C85" s="83">
        <f t="shared" si="38"/>
        <v>0</v>
      </c>
      <c r="D85" s="89">
        <f>IF(AND(0&lt;A85,A85&lt;5),1,0)</f>
        <v>0</v>
      </c>
      <c r="E85" s="251" t="b">
        <f t="shared" si="37"/>
        <v>0</v>
      </c>
      <c r="F85" s="251"/>
      <c r="G85" s="251"/>
      <c r="H85" s="396">
        <f>AE8*O60</f>
        <v>0</v>
      </c>
      <c r="I85" s="396"/>
      <c r="J85" s="396"/>
      <c r="K85" s="397">
        <f>IF(AH85=1,Y40,0)</f>
        <v>0</v>
      </c>
      <c r="L85" s="397"/>
      <c r="M85" s="397"/>
      <c r="N85" s="400">
        <f t="shared" si="39"/>
        <v>0</v>
      </c>
      <c r="O85" s="400"/>
      <c r="P85" s="400"/>
      <c r="Q85" s="400"/>
      <c r="R85" s="396">
        <f t="shared" si="40"/>
        <v>0</v>
      </c>
      <c r="S85" s="396"/>
      <c r="T85" s="396"/>
      <c r="U85" s="396"/>
      <c r="V85" s="396"/>
      <c r="W85" s="396"/>
      <c r="X85" s="398"/>
      <c r="Y85" s="398"/>
      <c r="Z85" s="398"/>
      <c r="AA85" s="240">
        <f t="shared" si="41"/>
        <v>0</v>
      </c>
      <c r="AB85" s="240"/>
      <c r="AC85" s="240"/>
      <c r="AD85" s="396">
        <f t="shared" si="42"/>
        <v>0</v>
      </c>
      <c r="AE85" s="396"/>
      <c r="AF85" s="396"/>
      <c r="AG85" s="396"/>
      <c r="AH85">
        <f>IF(AND(0&lt;試算シミュレーション!C29,試算シミュレーション!C29&lt;75),1,0)</f>
        <v>0</v>
      </c>
      <c r="AI85" s="235" t="e">
        <f>ROUNDDOWN(O66/AD90*AD85,0)</f>
        <v>#DIV/0!</v>
      </c>
      <c r="AJ85" s="235"/>
      <c r="AK85" s="235"/>
      <c r="AL85" s="235"/>
    </row>
    <row r="86" spans="1:38">
      <c r="A86" s="242">
        <f>試算シミュレーション!C31</f>
        <v>0</v>
      </c>
      <c r="B86" s="242"/>
      <c r="C86" s="83">
        <f t="shared" si="38"/>
        <v>0</v>
      </c>
      <c r="D86" s="89">
        <f>IF(AND(0&lt;A86,A86&lt;5),1,0)</f>
        <v>0</v>
      </c>
      <c r="E86" s="251" t="b">
        <f t="shared" si="37"/>
        <v>0</v>
      </c>
      <c r="F86" s="251"/>
      <c r="G86" s="251"/>
      <c r="H86" s="396">
        <f>AE10*O60</f>
        <v>0</v>
      </c>
      <c r="I86" s="396"/>
      <c r="J86" s="396"/>
      <c r="K86" s="397">
        <f>IF(AH86=1,Y40,0)</f>
        <v>0</v>
      </c>
      <c r="L86" s="397"/>
      <c r="M86" s="397"/>
      <c r="N86" s="400">
        <f t="shared" si="39"/>
        <v>0</v>
      </c>
      <c r="O86" s="400"/>
      <c r="P86" s="400"/>
      <c r="Q86" s="400"/>
      <c r="R86" s="396">
        <f t="shared" si="40"/>
        <v>0</v>
      </c>
      <c r="S86" s="396"/>
      <c r="T86" s="396"/>
      <c r="U86" s="396"/>
      <c r="V86" s="396"/>
      <c r="W86" s="396"/>
      <c r="X86" s="398"/>
      <c r="Y86" s="398"/>
      <c r="Z86" s="398"/>
      <c r="AA86" s="240">
        <f t="shared" si="41"/>
        <v>0</v>
      </c>
      <c r="AB86" s="240"/>
      <c r="AC86" s="240"/>
      <c r="AD86" s="396">
        <f t="shared" ref="AD86:AD88" si="43">IFERROR(ROUND(AA86*$W$57/12,),"")</f>
        <v>0</v>
      </c>
      <c r="AE86" s="396"/>
      <c r="AF86" s="396"/>
      <c r="AG86" s="396"/>
      <c r="AH86">
        <f>IF(AND(0&lt;試算シミュレーション!C31,試算シミュレーション!C31&lt;75),1,0)</f>
        <v>0</v>
      </c>
      <c r="AI86" s="235" t="e">
        <f>ROUNDDOWN(O66/AD90*AD86,0)</f>
        <v>#DIV/0!</v>
      </c>
      <c r="AJ86" s="235"/>
      <c r="AK86" s="235"/>
      <c r="AL86" s="235"/>
    </row>
    <row r="87" spans="1:38">
      <c r="A87" s="242">
        <f>試算シミュレーション!C33</f>
        <v>0</v>
      </c>
      <c r="B87" s="242"/>
      <c r="C87" s="83">
        <f t="shared" si="38"/>
        <v>0</v>
      </c>
      <c r="D87" s="89">
        <f t="shared" ref="D87:D89" si="44">IF(AND(0&lt;A87,A87&lt;5),1,0)</f>
        <v>0</v>
      </c>
      <c r="E87" s="251" t="b">
        <f t="shared" si="37"/>
        <v>0</v>
      </c>
      <c r="F87" s="251"/>
      <c r="G87" s="251"/>
      <c r="H87" s="396">
        <f>AE12*O60</f>
        <v>0</v>
      </c>
      <c r="I87" s="396"/>
      <c r="J87" s="396"/>
      <c r="K87" s="397">
        <f>IF(AH87=1,Y40,0)</f>
        <v>0</v>
      </c>
      <c r="L87" s="397"/>
      <c r="M87" s="397"/>
      <c r="N87" s="400">
        <f t="shared" si="39"/>
        <v>0</v>
      </c>
      <c r="O87" s="400"/>
      <c r="P87" s="400"/>
      <c r="Q87" s="400"/>
      <c r="R87" s="396">
        <f t="shared" si="40"/>
        <v>0</v>
      </c>
      <c r="S87" s="396"/>
      <c r="T87" s="396"/>
      <c r="U87" s="396"/>
      <c r="V87" s="396"/>
      <c r="W87" s="396"/>
      <c r="X87" s="398"/>
      <c r="Y87" s="398"/>
      <c r="Z87" s="398"/>
      <c r="AA87" s="240">
        <f t="shared" si="41"/>
        <v>0</v>
      </c>
      <c r="AB87" s="240"/>
      <c r="AC87" s="240"/>
      <c r="AD87" s="396">
        <f t="shared" si="43"/>
        <v>0</v>
      </c>
      <c r="AE87" s="396"/>
      <c r="AF87" s="396"/>
      <c r="AG87" s="396"/>
      <c r="AH87">
        <f>IF(AND(0&lt;試算シミュレーション!C33,試算シミュレーション!C33&lt;75),1,0)</f>
        <v>0</v>
      </c>
      <c r="AI87" s="235" t="e">
        <f>ROUNDDOWN(O66/AD90*AD87,0)</f>
        <v>#DIV/0!</v>
      </c>
      <c r="AJ87" s="235"/>
      <c r="AK87" s="235"/>
      <c r="AL87" s="235"/>
    </row>
    <row r="88" spans="1:38">
      <c r="A88" s="242">
        <f>試算シミュレーション!C35</f>
        <v>0</v>
      </c>
      <c r="B88" s="242"/>
      <c r="C88" s="83">
        <f t="shared" si="38"/>
        <v>0</v>
      </c>
      <c r="D88" s="89">
        <f t="shared" si="44"/>
        <v>0</v>
      </c>
      <c r="E88" s="251" t="b">
        <f t="shared" si="37"/>
        <v>0</v>
      </c>
      <c r="F88" s="251"/>
      <c r="G88" s="251"/>
      <c r="H88" s="396">
        <f>AE14*O60</f>
        <v>0</v>
      </c>
      <c r="I88" s="396"/>
      <c r="J88" s="396"/>
      <c r="K88" s="397">
        <f>IF(AH88=1,Y40,0)</f>
        <v>0</v>
      </c>
      <c r="L88" s="397"/>
      <c r="M88" s="397"/>
      <c r="N88" s="400">
        <f t="shared" si="39"/>
        <v>0</v>
      </c>
      <c r="O88" s="400"/>
      <c r="P88" s="400"/>
      <c r="Q88" s="400"/>
      <c r="R88" s="396">
        <f t="shared" si="40"/>
        <v>0</v>
      </c>
      <c r="S88" s="396"/>
      <c r="T88" s="396"/>
      <c r="U88" s="396"/>
      <c r="V88" s="396"/>
      <c r="W88" s="396"/>
      <c r="X88" s="398"/>
      <c r="Y88" s="398"/>
      <c r="Z88" s="398"/>
      <c r="AA88" s="240">
        <f t="shared" si="41"/>
        <v>0</v>
      </c>
      <c r="AB88" s="240"/>
      <c r="AC88" s="240"/>
      <c r="AD88" s="396">
        <f t="shared" si="43"/>
        <v>0</v>
      </c>
      <c r="AE88" s="396"/>
      <c r="AF88" s="396"/>
      <c r="AG88" s="396"/>
      <c r="AH88">
        <f>IF(AND(0&lt;試算シミュレーション!C35,試算シミュレーション!C35&lt;75),1,0)</f>
        <v>0</v>
      </c>
      <c r="AI88" s="235" t="e">
        <f>ROUNDDOWN(O66/AD90*AD88,0)</f>
        <v>#DIV/0!</v>
      </c>
      <c r="AJ88" s="235"/>
      <c r="AK88" s="235"/>
      <c r="AL88" s="235"/>
    </row>
    <row r="89" spans="1:38">
      <c r="A89" s="242">
        <f>試算シミュレーション!C37</f>
        <v>0</v>
      </c>
      <c r="B89" s="242"/>
      <c r="C89" s="83">
        <f t="shared" si="38"/>
        <v>0</v>
      </c>
      <c r="D89" s="89">
        <f t="shared" si="44"/>
        <v>0</v>
      </c>
      <c r="E89" s="251" t="b">
        <f t="shared" si="37"/>
        <v>0</v>
      </c>
      <c r="F89" s="251"/>
      <c r="G89" s="251"/>
      <c r="H89" s="396">
        <f>AE16*O60</f>
        <v>0</v>
      </c>
      <c r="I89" s="396"/>
      <c r="J89" s="396"/>
      <c r="K89" s="397">
        <f>IF(AH89=1,Y40,0)</f>
        <v>0</v>
      </c>
      <c r="L89" s="397"/>
      <c r="M89" s="397"/>
      <c r="N89" s="400">
        <f t="shared" si="39"/>
        <v>0</v>
      </c>
      <c r="O89" s="400"/>
      <c r="P89" s="400"/>
      <c r="Q89" s="400"/>
      <c r="R89" s="396">
        <f t="shared" si="40"/>
        <v>0</v>
      </c>
      <c r="S89" s="396"/>
      <c r="T89" s="396"/>
      <c r="U89" s="396"/>
      <c r="V89" s="396"/>
      <c r="W89" s="396"/>
      <c r="X89" s="398"/>
      <c r="Y89" s="398"/>
      <c r="Z89" s="398"/>
      <c r="AA89" s="240">
        <f t="shared" si="41"/>
        <v>0</v>
      </c>
      <c r="AB89" s="240"/>
      <c r="AC89" s="240"/>
      <c r="AD89" s="396">
        <f t="shared" si="42"/>
        <v>0</v>
      </c>
      <c r="AE89" s="396"/>
      <c r="AF89" s="396"/>
      <c r="AG89" s="396"/>
      <c r="AH89">
        <f>IF(AND(0&lt;試算シミュレーション!C37,試算シミュレーション!C37&lt;75),1,0)</f>
        <v>0</v>
      </c>
      <c r="AI89" s="235" t="e">
        <f>ROUNDDOWN(O66/AD90*AD89,0)</f>
        <v>#DIV/0!</v>
      </c>
      <c r="AJ89" s="235"/>
      <c r="AK89" s="235"/>
      <c r="AL89" s="235"/>
    </row>
    <row r="90" spans="1:38">
      <c r="A90" s="41"/>
      <c r="B90" s="41"/>
      <c r="C90" s="38"/>
      <c r="D90" s="38"/>
      <c r="E90" s="1"/>
      <c r="F90" s="1"/>
      <c r="G90" s="1"/>
      <c r="H90" s="97"/>
      <c r="I90" s="97"/>
      <c r="J90" s="97"/>
      <c r="K90" s="97"/>
      <c r="L90" s="97"/>
      <c r="M90" s="97"/>
      <c r="N90" s="99"/>
      <c r="O90" s="99"/>
      <c r="P90" s="99"/>
      <c r="Q90" s="99"/>
      <c r="R90" s="97"/>
      <c r="S90" s="97"/>
      <c r="T90" s="97"/>
      <c r="U90" s="97"/>
      <c r="V90" s="97"/>
      <c r="W90" s="97"/>
      <c r="X90" s="1"/>
      <c r="Y90" s="1"/>
      <c r="Z90" s="1"/>
      <c r="AA90" s="240">
        <f>SUM(AA83:AC89)</f>
        <v>0</v>
      </c>
      <c r="AB90" s="240"/>
      <c r="AC90" s="240"/>
      <c r="AD90" s="401">
        <f>SUM(AD83:AF89)</f>
        <v>0</v>
      </c>
      <c r="AE90" s="402"/>
      <c r="AF90" s="402"/>
      <c r="AG90" s="403"/>
    </row>
    <row r="91" spans="1:38" ht="13.5" customHeight="1">
      <c r="A91" s="38"/>
      <c r="B91"/>
    </row>
    <row r="92" spans="1:38">
      <c r="A92" s="81" t="s">
        <v>156</v>
      </c>
      <c r="B92"/>
    </row>
    <row r="93" spans="1:38">
      <c r="A93" s="242" t="s">
        <v>103</v>
      </c>
      <c r="B93" s="242"/>
      <c r="C93" s="84" t="s">
        <v>104</v>
      </c>
      <c r="D93" s="88" t="s">
        <v>172</v>
      </c>
      <c r="E93" s="242" t="s">
        <v>183</v>
      </c>
      <c r="F93" s="242"/>
      <c r="G93" s="242"/>
      <c r="H93" s="396" t="s">
        <v>157</v>
      </c>
      <c r="I93" s="396"/>
      <c r="J93" s="396"/>
      <c r="K93" s="396" t="s">
        <v>184</v>
      </c>
      <c r="L93" s="396"/>
      <c r="M93" s="396"/>
      <c r="N93" s="242" t="s">
        <v>186</v>
      </c>
      <c r="O93" s="242"/>
      <c r="P93" s="242"/>
      <c r="Q93" s="242"/>
      <c r="R93" s="242"/>
      <c r="S93" s="242"/>
      <c r="T93" s="242" t="s">
        <v>95</v>
      </c>
      <c r="U93" s="242"/>
      <c r="V93" s="242"/>
      <c r="W93" s="242" t="s">
        <v>185</v>
      </c>
      <c r="X93" s="242"/>
      <c r="Y93" s="242"/>
      <c r="Z93" s="242" t="s">
        <v>202</v>
      </c>
      <c r="AA93" s="242"/>
      <c r="AB93" s="242"/>
      <c r="AC93" s="242"/>
      <c r="AG93" s="41"/>
    </row>
    <row r="94" spans="1:38">
      <c r="A94" s="398"/>
      <c r="B94" s="398"/>
      <c r="C94" s="87"/>
      <c r="D94" s="87"/>
      <c r="E94" s="398"/>
      <c r="F94" s="398"/>
      <c r="G94" s="398"/>
      <c r="H94" s="398"/>
      <c r="I94" s="398"/>
      <c r="J94" s="398"/>
      <c r="K94" s="398"/>
      <c r="L94" s="398"/>
      <c r="M94" s="398"/>
      <c r="N94" s="398"/>
      <c r="O94" s="398"/>
      <c r="P94" s="398"/>
      <c r="Q94" s="398"/>
      <c r="R94" s="398"/>
      <c r="S94" s="398"/>
      <c r="T94" s="398"/>
      <c r="U94" s="398"/>
      <c r="V94" s="398"/>
      <c r="W94" s="398"/>
      <c r="X94" s="398"/>
      <c r="Y94" s="398"/>
      <c r="Z94" s="398"/>
      <c r="AA94" s="398"/>
      <c r="AB94" s="398"/>
      <c r="AC94" s="398"/>
      <c r="AG94" s="82"/>
    </row>
    <row r="95" spans="1:38">
      <c r="A95" s="242">
        <f>試算シミュレーション!C25</f>
        <v>0</v>
      </c>
      <c r="B95" s="242"/>
      <c r="C95" s="85">
        <f>IF(AND(39&lt;A95,A95&lt;65),1,0)</f>
        <v>0</v>
      </c>
      <c r="D95" s="89">
        <f>IF(AND(0&lt;A95,A95&lt;5),1,0)</f>
        <v>0</v>
      </c>
      <c r="E95" s="251" t="b">
        <f t="shared" ref="E95:E101" si="45">E71</f>
        <v>0</v>
      </c>
      <c r="F95" s="251"/>
      <c r="G95" s="251"/>
      <c r="H95" s="396">
        <f>IF(C95=1,AE4*W60,0)</f>
        <v>0</v>
      </c>
      <c r="I95" s="396"/>
      <c r="J95" s="396"/>
      <c r="K95" s="399">
        <f>IF(C95=1,AP40,0)</f>
        <v>0</v>
      </c>
      <c r="L95" s="399"/>
      <c r="M95" s="399"/>
      <c r="N95" s="396">
        <f>H95+K95</f>
        <v>0</v>
      </c>
      <c r="O95" s="396"/>
      <c r="P95" s="396"/>
      <c r="Q95" s="396"/>
      <c r="R95" s="396"/>
      <c r="S95" s="396"/>
      <c r="T95" s="398"/>
      <c r="U95" s="398"/>
      <c r="V95" s="398"/>
      <c r="W95" s="240">
        <f>N95</f>
        <v>0</v>
      </c>
      <c r="X95" s="240"/>
      <c r="Y95" s="240"/>
      <c r="Z95" s="396">
        <f>IFERROR(ROUND(W95*$W$57/12,),"")</f>
        <v>0</v>
      </c>
      <c r="AA95" s="396"/>
      <c r="AB95" s="396"/>
      <c r="AC95" s="396"/>
      <c r="AD95" s="235" t="e">
        <f>ROUNDDOWN(W66/Z102*Z95,0)</f>
        <v>#DIV/0!</v>
      </c>
      <c r="AE95" s="235"/>
      <c r="AF95" s="235"/>
      <c r="AG95" s="235"/>
    </row>
    <row r="96" spans="1:38">
      <c r="A96" s="242">
        <f>試算シミュレーション!C27</f>
        <v>0</v>
      </c>
      <c r="B96" s="242"/>
      <c r="C96" s="83">
        <f t="shared" ref="C96:C101" si="46">IF(AND(39&lt;A96,A96&lt;65),1,0)</f>
        <v>0</v>
      </c>
      <c r="D96" s="89">
        <f t="shared" ref="D96:D101" si="47">IF(AND(0&lt;A96,A96&lt;5),1,0)</f>
        <v>0</v>
      </c>
      <c r="E96" s="251" t="b">
        <f t="shared" si="45"/>
        <v>0</v>
      </c>
      <c r="F96" s="251"/>
      <c r="G96" s="251"/>
      <c r="H96" s="396">
        <f>IF(C96=1,AE6*W60,0)</f>
        <v>0</v>
      </c>
      <c r="I96" s="396"/>
      <c r="J96" s="396"/>
      <c r="K96" s="399">
        <f>IF(C96=1,AP40,0)</f>
        <v>0</v>
      </c>
      <c r="L96" s="399"/>
      <c r="M96" s="399"/>
      <c r="N96" s="396">
        <f t="shared" ref="N96:N101" si="48">H96+K96</f>
        <v>0</v>
      </c>
      <c r="O96" s="396"/>
      <c r="P96" s="396"/>
      <c r="Q96" s="396"/>
      <c r="R96" s="396"/>
      <c r="S96" s="396"/>
      <c r="T96" s="398"/>
      <c r="U96" s="398"/>
      <c r="V96" s="398"/>
      <c r="W96" s="240">
        <f t="shared" ref="W96:W101" si="49">N96</f>
        <v>0</v>
      </c>
      <c r="X96" s="240"/>
      <c r="Y96" s="240"/>
      <c r="Z96" s="396">
        <f t="shared" ref="Z96:Z100" si="50">IFERROR(ROUND(W96*$W$57/12,),"")</f>
        <v>0</v>
      </c>
      <c r="AA96" s="396"/>
      <c r="AB96" s="396"/>
      <c r="AC96" s="396"/>
      <c r="AD96" s="235" t="e">
        <f>ROUNDDOWN(W66/Z102*Z96,0)</f>
        <v>#DIV/0!</v>
      </c>
      <c r="AE96" s="235"/>
      <c r="AF96" s="235"/>
      <c r="AG96" s="235"/>
    </row>
    <row r="97" spans="1:47">
      <c r="A97" s="242">
        <f>試算シミュレーション!C29</f>
        <v>0</v>
      </c>
      <c r="B97" s="242"/>
      <c r="C97" s="83">
        <f t="shared" si="46"/>
        <v>0</v>
      </c>
      <c r="D97" s="89">
        <f t="shared" si="47"/>
        <v>0</v>
      </c>
      <c r="E97" s="251" t="b">
        <f t="shared" si="45"/>
        <v>0</v>
      </c>
      <c r="F97" s="251"/>
      <c r="G97" s="251"/>
      <c r="H97" s="396">
        <f>IF(C97=1,AE8*W60,0)</f>
        <v>0</v>
      </c>
      <c r="I97" s="396"/>
      <c r="J97" s="396"/>
      <c r="K97" s="399">
        <f>IF(C97=1,AP40,0)</f>
        <v>0</v>
      </c>
      <c r="L97" s="399"/>
      <c r="M97" s="399"/>
      <c r="N97" s="396">
        <f t="shared" si="48"/>
        <v>0</v>
      </c>
      <c r="O97" s="396"/>
      <c r="P97" s="396"/>
      <c r="Q97" s="396"/>
      <c r="R97" s="396"/>
      <c r="S97" s="396"/>
      <c r="T97" s="398"/>
      <c r="U97" s="398"/>
      <c r="V97" s="398"/>
      <c r="W97" s="240">
        <f t="shared" si="49"/>
        <v>0</v>
      </c>
      <c r="X97" s="240"/>
      <c r="Y97" s="240"/>
      <c r="Z97" s="396">
        <f t="shared" si="50"/>
        <v>0</v>
      </c>
      <c r="AA97" s="396"/>
      <c r="AB97" s="396"/>
      <c r="AC97" s="396"/>
      <c r="AD97" s="235" t="e">
        <f>ROUNDDOWN(W66/Z102*Z97,0)</f>
        <v>#DIV/0!</v>
      </c>
      <c r="AE97" s="235"/>
      <c r="AF97" s="235"/>
      <c r="AG97" s="235"/>
    </row>
    <row r="98" spans="1:47">
      <c r="A98" s="242">
        <f>試算シミュレーション!C31</f>
        <v>0</v>
      </c>
      <c r="B98" s="242"/>
      <c r="C98" s="83">
        <f t="shared" si="46"/>
        <v>0</v>
      </c>
      <c r="D98" s="89">
        <f t="shared" si="47"/>
        <v>0</v>
      </c>
      <c r="E98" s="251" t="b">
        <f t="shared" si="45"/>
        <v>0</v>
      </c>
      <c r="F98" s="251"/>
      <c r="G98" s="251"/>
      <c r="H98" s="396">
        <f>IF(C98=1,AE10*W60,0)</f>
        <v>0</v>
      </c>
      <c r="I98" s="396"/>
      <c r="J98" s="396"/>
      <c r="K98" s="399">
        <f>IF(C98=1,AP40,0)</f>
        <v>0</v>
      </c>
      <c r="L98" s="399"/>
      <c r="M98" s="399"/>
      <c r="N98" s="396">
        <f t="shared" si="48"/>
        <v>0</v>
      </c>
      <c r="O98" s="396"/>
      <c r="P98" s="396"/>
      <c r="Q98" s="396"/>
      <c r="R98" s="396"/>
      <c r="S98" s="396"/>
      <c r="T98" s="398"/>
      <c r="U98" s="398"/>
      <c r="V98" s="398"/>
      <c r="W98" s="240">
        <f t="shared" si="49"/>
        <v>0</v>
      </c>
      <c r="X98" s="240"/>
      <c r="Y98" s="240"/>
      <c r="Z98" s="396">
        <f t="shared" si="50"/>
        <v>0</v>
      </c>
      <c r="AA98" s="396"/>
      <c r="AB98" s="396"/>
      <c r="AC98" s="396"/>
      <c r="AD98" s="235" t="e">
        <f>ROUNDDOWN(W66/Z102*Z98,0)</f>
        <v>#DIV/0!</v>
      </c>
      <c r="AE98" s="235"/>
      <c r="AF98" s="235"/>
      <c r="AG98" s="235"/>
    </row>
    <row r="99" spans="1:47">
      <c r="A99" s="242">
        <f>試算シミュレーション!C33</f>
        <v>0</v>
      </c>
      <c r="B99" s="242"/>
      <c r="C99" s="83">
        <f t="shared" si="46"/>
        <v>0</v>
      </c>
      <c r="D99" s="89">
        <f t="shared" si="47"/>
        <v>0</v>
      </c>
      <c r="E99" s="251" t="b">
        <f t="shared" si="45"/>
        <v>0</v>
      </c>
      <c r="F99" s="251"/>
      <c r="G99" s="251"/>
      <c r="H99" s="396">
        <f>IF(C99=1,AE12*W60,0)</f>
        <v>0</v>
      </c>
      <c r="I99" s="396"/>
      <c r="J99" s="396"/>
      <c r="K99" s="399">
        <f>IF(C99=1,AP40,0)</f>
        <v>0</v>
      </c>
      <c r="L99" s="399"/>
      <c r="M99" s="399"/>
      <c r="N99" s="396">
        <f t="shared" si="48"/>
        <v>0</v>
      </c>
      <c r="O99" s="396"/>
      <c r="P99" s="396"/>
      <c r="Q99" s="396"/>
      <c r="R99" s="396"/>
      <c r="S99" s="396"/>
      <c r="T99" s="398"/>
      <c r="U99" s="398"/>
      <c r="V99" s="398"/>
      <c r="W99" s="240">
        <f t="shared" si="49"/>
        <v>0</v>
      </c>
      <c r="X99" s="240"/>
      <c r="Y99" s="240"/>
      <c r="Z99" s="396">
        <f t="shared" si="50"/>
        <v>0</v>
      </c>
      <c r="AA99" s="396"/>
      <c r="AB99" s="396"/>
      <c r="AC99" s="396"/>
      <c r="AD99" s="235" t="e">
        <f>ROUNDDOWN(W66/Z102*Z99,0)</f>
        <v>#DIV/0!</v>
      </c>
      <c r="AE99" s="235"/>
      <c r="AF99" s="235"/>
      <c r="AG99" s="235"/>
    </row>
    <row r="100" spans="1:47">
      <c r="A100" s="242">
        <f>試算シミュレーション!C35</f>
        <v>0</v>
      </c>
      <c r="B100" s="242"/>
      <c r="C100" s="83">
        <f t="shared" si="46"/>
        <v>0</v>
      </c>
      <c r="D100" s="89">
        <f t="shared" si="47"/>
        <v>0</v>
      </c>
      <c r="E100" s="251" t="b">
        <f t="shared" si="45"/>
        <v>0</v>
      </c>
      <c r="F100" s="251"/>
      <c r="G100" s="251"/>
      <c r="H100" s="396">
        <f>IF(C100=1,AE14*W60,0)</f>
        <v>0</v>
      </c>
      <c r="I100" s="396"/>
      <c r="J100" s="396"/>
      <c r="K100" s="399">
        <f>IF(C100=1,AP40,0)</f>
        <v>0</v>
      </c>
      <c r="L100" s="399"/>
      <c r="M100" s="399"/>
      <c r="N100" s="396">
        <f t="shared" si="48"/>
        <v>0</v>
      </c>
      <c r="O100" s="396"/>
      <c r="P100" s="396"/>
      <c r="Q100" s="396"/>
      <c r="R100" s="396"/>
      <c r="S100" s="396"/>
      <c r="T100" s="398"/>
      <c r="U100" s="398"/>
      <c r="V100" s="398"/>
      <c r="W100" s="240">
        <f t="shared" si="49"/>
        <v>0</v>
      </c>
      <c r="X100" s="240"/>
      <c r="Y100" s="240"/>
      <c r="Z100" s="396">
        <f t="shared" si="50"/>
        <v>0</v>
      </c>
      <c r="AA100" s="396"/>
      <c r="AB100" s="396"/>
      <c r="AC100" s="396"/>
      <c r="AD100" s="235" t="e">
        <f>ROUNDDOWN(W66/Z102*Z100,0)</f>
        <v>#DIV/0!</v>
      </c>
      <c r="AE100" s="235"/>
      <c r="AF100" s="235"/>
      <c r="AG100" s="235"/>
    </row>
    <row r="101" spans="1:47">
      <c r="A101" s="242">
        <f>試算シミュレーション!C37</f>
        <v>0</v>
      </c>
      <c r="B101" s="242"/>
      <c r="C101" s="83">
        <f t="shared" si="46"/>
        <v>0</v>
      </c>
      <c r="D101" s="89">
        <f t="shared" si="47"/>
        <v>0</v>
      </c>
      <c r="E101" s="251" t="b">
        <f t="shared" si="45"/>
        <v>0</v>
      </c>
      <c r="F101" s="251"/>
      <c r="G101" s="251"/>
      <c r="H101" s="396">
        <f>IF(C101=1,AE16*W60,0)</f>
        <v>0</v>
      </c>
      <c r="I101" s="396"/>
      <c r="J101" s="396"/>
      <c r="K101" s="399">
        <f>IF(C101=1,AP40,0)</f>
        <v>0</v>
      </c>
      <c r="L101" s="399"/>
      <c r="M101" s="399"/>
      <c r="N101" s="396">
        <f t="shared" si="48"/>
        <v>0</v>
      </c>
      <c r="O101" s="396"/>
      <c r="P101" s="396"/>
      <c r="Q101" s="396"/>
      <c r="R101" s="396"/>
      <c r="S101" s="396"/>
      <c r="T101" s="398"/>
      <c r="U101" s="398"/>
      <c r="V101" s="398"/>
      <c r="W101" s="240">
        <f t="shared" si="49"/>
        <v>0</v>
      </c>
      <c r="X101" s="240"/>
      <c r="Y101" s="240"/>
      <c r="Z101" s="396">
        <f t="shared" ref="Z101" si="51">IFERROR(ROUND(W101*$W$57/12,),"")</f>
        <v>0</v>
      </c>
      <c r="AA101" s="396"/>
      <c r="AB101" s="396"/>
      <c r="AC101" s="396"/>
      <c r="AD101" s="235" t="e">
        <f>ROUNDDOWN(W66/Z102*Z101,0)</f>
        <v>#DIV/0!</v>
      </c>
      <c r="AE101" s="235"/>
      <c r="AF101" s="235"/>
      <c r="AG101" s="235"/>
      <c r="AR101" s="234"/>
      <c r="AS101" s="234"/>
      <c r="AT101" s="234"/>
      <c r="AU101" s="234"/>
    </row>
    <row r="102" spans="1:47">
      <c r="B102"/>
      <c r="W102" s="240">
        <f>SUM(W95:Y101)</f>
        <v>0</v>
      </c>
      <c r="X102" s="240"/>
      <c r="Y102" s="240"/>
      <c r="Z102" s="401">
        <f>SUM(Z95:AB101)</f>
        <v>0</v>
      </c>
      <c r="AA102" s="402"/>
      <c r="AB102" s="402"/>
      <c r="AC102" s="403"/>
    </row>
    <row r="103" spans="1:47">
      <c r="B103"/>
    </row>
    <row r="104" spans="1:47">
      <c r="B104"/>
      <c r="P104" t="s">
        <v>196</v>
      </c>
      <c r="T104" s="234">
        <f>AA78+AA90+W102</f>
        <v>0</v>
      </c>
      <c r="U104" s="234"/>
      <c r="V104" s="234"/>
      <c r="W104" s="234"/>
      <c r="Z104" t="s">
        <v>197</v>
      </c>
      <c r="AC104" s="235">
        <v>1090000</v>
      </c>
      <c r="AD104" s="235"/>
      <c r="AE104" s="235"/>
      <c r="AF104" s="235"/>
    </row>
    <row r="105" spans="1:47" ht="19.5" thickBot="1">
      <c r="B105"/>
      <c r="P105" t="s">
        <v>199</v>
      </c>
      <c r="R105" s="101"/>
      <c r="S105" s="101"/>
      <c r="T105" s="235">
        <f>IF(T104&gt;AC104,AC104,ROUNDDOWN(T104,-2))</f>
        <v>0</v>
      </c>
      <c r="U105" s="235"/>
      <c r="V105" s="235"/>
      <c r="W105" s="235"/>
    </row>
    <row r="106" spans="1:47" ht="24" customHeight="1" thickBot="1">
      <c r="B106"/>
      <c r="P106" t="s">
        <v>198</v>
      </c>
      <c r="T106" s="236">
        <f>IFERROR(ROUNDDOWN(T105*$W$57/12,-2),"")</f>
        <v>0</v>
      </c>
      <c r="U106" s="237"/>
      <c r="V106" s="237"/>
      <c r="W106" s="238"/>
    </row>
    <row r="107" spans="1:47">
      <c r="B107"/>
    </row>
  </sheetData>
  <protectedRanges>
    <protectedRange sqref="A23:F23 I26 I29 C29" name="範囲1_1"/>
    <protectedRange sqref="C2:N17" name="範囲2"/>
    <protectedRange sqref="AP40:AP43 W57 Y40:Y43 H40:H43" name="範囲1_2"/>
    <protectedRange sqref="H46 Y46 AP46" name="範囲1_3"/>
  </protectedRanges>
  <mergeCells count="597">
    <mergeCell ref="AD99:AG99"/>
    <mergeCell ref="AD100:AG100"/>
    <mergeCell ref="AD101:AG101"/>
    <mergeCell ref="AA78:AC78"/>
    <mergeCell ref="AD78:AG78"/>
    <mergeCell ref="AA90:AC90"/>
    <mergeCell ref="AD90:AG90"/>
    <mergeCell ref="W102:Y102"/>
    <mergeCell ref="Z102:AC102"/>
    <mergeCell ref="W96:Y96"/>
    <mergeCell ref="W97:Y97"/>
    <mergeCell ref="W98:Y98"/>
    <mergeCell ref="W99:Y99"/>
    <mergeCell ref="W100:Y100"/>
    <mergeCell ref="W101:Y101"/>
    <mergeCell ref="Z95:AC95"/>
    <mergeCell ref="Z96:AC96"/>
    <mergeCell ref="Z97:AC97"/>
    <mergeCell ref="Z98:AC98"/>
    <mergeCell ref="Z99:AC99"/>
    <mergeCell ref="Z100:AC100"/>
    <mergeCell ref="Z101:AC101"/>
    <mergeCell ref="AD84:AG84"/>
    <mergeCell ref="AA83:AC83"/>
    <mergeCell ref="AI71:AL71"/>
    <mergeCell ref="AI72:AL72"/>
    <mergeCell ref="AI73:AL73"/>
    <mergeCell ref="AI74:AL74"/>
    <mergeCell ref="AI75:AL75"/>
    <mergeCell ref="AI76:AL76"/>
    <mergeCell ref="AI77:AL77"/>
    <mergeCell ref="AI83:AL83"/>
    <mergeCell ref="AI84:AL84"/>
    <mergeCell ref="AI85:AL85"/>
    <mergeCell ref="AI86:AL86"/>
    <mergeCell ref="AI87:AL87"/>
    <mergeCell ref="AI88:AL88"/>
    <mergeCell ref="AI89:AL89"/>
    <mergeCell ref="AD95:AG95"/>
    <mergeCell ref="AD96:AG96"/>
    <mergeCell ref="AD97:AG97"/>
    <mergeCell ref="AD98:AG98"/>
    <mergeCell ref="AD85:AG85"/>
    <mergeCell ref="AD86:AG86"/>
    <mergeCell ref="AD87:AG87"/>
    <mergeCell ref="AD88:AG88"/>
    <mergeCell ref="AD89:AG89"/>
    <mergeCell ref="N70:Q70"/>
    <mergeCell ref="N82:Q82"/>
    <mergeCell ref="N83:Q83"/>
    <mergeCell ref="N84:Q84"/>
    <mergeCell ref="N85:Q85"/>
    <mergeCell ref="N86:Q86"/>
    <mergeCell ref="N87:Q87"/>
    <mergeCell ref="N88:Q88"/>
    <mergeCell ref="N89:Q89"/>
    <mergeCell ref="N71:Q71"/>
    <mergeCell ref="N72:Q72"/>
    <mergeCell ref="N73:Q73"/>
    <mergeCell ref="N74:Q74"/>
    <mergeCell ref="N75:Q75"/>
    <mergeCell ref="N76:Q76"/>
    <mergeCell ref="N77:Q77"/>
    <mergeCell ref="N96:S96"/>
    <mergeCell ref="N97:S97"/>
    <mergeCell ref="N98:S98"/>
    <mergeCell ref="N99:S99"/>
    <mergeCell ref="N100:S100"/>
    <mergeCell ref="N101:S101"/>
    <mergeCell ref="T95:V95"/>
    <mergeCell ref="T96:V96"/>
    <mergeCell ref="T97:V97"/>
    <mergeCell ref="T98:V98"/>
    <mergeCell ref="T99:V99"/>
    <mergeCell ref="T100:V100"/>
    <mergeCell ref="T101:V101"/>
    <mergeCell ref="H96:J96"/>
    <mergeCell ref="H97:J97"/>
    <mergeCell ref="H98:J98"/>
    <mergeCell ref="H99:J99"/>
    <mergeCell ref="H100:J100"/>
    <mergeCell ref="H101:J101"/>
    <mergeCell ref="K95:M95"/>
    <mergeCell ref="K96:M96"/>
    <mergeCell ref="K97:M97"/>
    <mergeCell ref="K98:M98"/>
    <mergeCell ref="K99:M99"/>
    <mergeCell ref="K100:M100"/>
    <mergeCell ref="K101:M101"/>
    <mergeCell ref="A96:B96"/>
    <mergeCell ref="A97:B97"/>
    <mergeCell ref="A98:B98"/>
    <mergeCell ref="A99:B99"/>
    <mergeCell ref="A100:B100"/>
    <mergeCell ref="A101:B101"/>
    <mergeCell ref="E95:G95"/>
    <mergeCell ref="E96:G96"/>
    <mergeCell ref="E97:G97"/>
    <mergeCell ref="E98:G98"/>
    <mergeCell ref="E99:G99"/>
    <mergeCell ref="E100:G100"/>
    <mergeCell ref="E101:G101"/>
    <mergeCell ref="A94:B94"/>
    <mergeCell ref="E94:G94"/>
    <mergeCell ref="H94:J94"/>
    <mergeCell ref="K94:M94"/>
    <mergeCell ref="N94:S94"/>
    <mergeCell ref="T94:V94"/>
    <mergeCell ref="W94:Y94"/>
    <mergeCell ref="Z94:AC94"/>
    <mergeCell ref="A95:B95"/>
    <mergeCell ref="H95:J95"/>
    <mergeCell ref="N95:S95"/>
    <mergeCell ref="W95:Y95"/>
    <mergeCell ref="A93:B93"/>
    <mergeCell ref="E93:G93"/>
    <mergeCell ref="H93:J93"/>
    <mergeCell ref="K93:M93"/>
    <mergeCell ref="N93:S93"/>
    <mergeCell ref="T93:V93"/>
    <mergeCell ref="W93:Y93"/>
    <mergeCell ref="Z93:AC93"/>
    <mergeCell ref="R85:W85"/>
    <mergeCell ref="R86:W86"/>
    <mergeCell ref="R87:W87"/>
    <mergeCell ref="R88:W88"/>
    <mergeCell ref="R89:W89"/>
    <mergeCell ref="X89:Z89"/>
    <mergeCell ref="AA89:AC89"/>
    <mergeCell ref="H85:J85"/>
    <mergeCell ref="H86:J86"/>
    <mergeCell ref="H87:J87"/>
    <mergeCell ref="X85:Z85"/>
    <mergeCell ref="X86:Z86"/>
    <mergeCell ref="X87:Z87"/>
    <mergeCell ref="X88:Z88"/>
    <mergeCell ref="AA84:AC84"/>
    <mergeCell ref="AA85:AC85"/>
    <mergeCell ref="AA86:AC86"/>
    <mergeCell ref="AA87:AC87"/>
    <mergeCell ref="AA88:AC88"/>
    <mergeCell ref="H89:J89"/>
    <mergeCell ref="K83:M83"/>
    <mergeCell ref="K84:M84"/>
    <mergeCell ref="K85:M85"/>
    <mergeCell ref="K86:M86"/>
    <mergeCell ref="K87:M87"/>
    <mergeCell ref="K88:M88"/>
    <mergeCell ref="K89:M89"/>
    <mergeCell ref="X83:Z83"/>
    <mergeCell ref="X84:Z84"/>
    <mergeCell ref="H81:J81"/>
    <mergeCell ref="K81:M81"/>
    <mergeCell ref="H88:J88"/>
    <mergeCell ref="R81:W81"/>
    <mergeCell ref="X81:Z81"/>
    <mergeCell ref="AA81:AC81"/>
    <mergeCell ref="AD81:AG81"/>
    <mergeCell ref="A81:B81"/>
    <mergeCell ref="E83:G83"/>
    <mergeCell ref="E84:G84"/>
    <mergeCell ref="A82:B82"/>
    <mergeCell ref="E82:G82"/>
    <mergeCell ref="H82:J82"/>
    <mergeCell ref="K82:M82"/>
    <mergeCell ref="R82:W82"/>
    <mergeCell ref="H83:J83"/>
    <mergeCell ref="H84:J84"/>
    <mergeCell ref="R83:W83"/>
    <mergeCell ref="R84:W84"/>
    <mergeCell ref="A83:B83"/>
    <mergeCell ref="A84:B84"/>
    <mergeCell ref="X82:Z82"/>
    <mergeCell ref="AA82:AC82"/>
    <mergeCell ref="AD82:AG82"/>
    <mergeCell ref="AA77:AC77"/>
    <mergeCell ref="AD83:AG83"/>
    <mergeCell ref="A85:B85"/>
    <mergeCell ref="A86:B86"/>
    <mergeCell ref="A87:B87"/>
    <mergeCell ref="A88:B88"/>
    <mergeCell ref="A89:B89"/>
    <mergeCell ref="A70:B70"/>
    <mergeCell ref="E70:G70"/>
    <mergeCell ref="E81:G81"/>
    <mergeCell ref="E85:G85"/>
    <mergeCell ref="E86:G86"/>
    <mergeCell ref="E87:G87"/>
    <mergeCell ref="E88:G88"/>
    <mergeCell ref="E89:G89"/>
    <mergeCell ref="A77:B77"/>
    <mergeCell ref="E71:G71"/>
    <mergeCell ref="E72:G72"/>
    <mergeCell ref="E73:G73"/>
    <mergeCell ref="E74:G74"/>
    <mergeCell ref="E75:G75"/>
    <mergeCell ref="E76:G76"/>
    <mergeCell ref="E77:G77"/>
    <mergeCell ref="AD77:AG77"/>
    <mergeCell ref="AA69:AC69"/>
    <mergeCell ref="AA71:AC71"/>
    <mergeCell ref="AD69:AG69"/>
    <mergeCell ref="AD71:AG71"/>
    <mergeCell ref="AD72:AG72"/>
    <mergeCell ref="AD73:AG73"/>
    <mergeCell ref="AD74:AG74"/>
    <mergeCell ref="AD75:AG75"/>
    <mergeCell ref="AD76:AG76"/>
    <mergeCell ref="AA70:AC70"/>
    <mergeCell ref="AD70:AG70"/>
    <mergeCell ref="AA72:AC72"/>
    <mergeCell ref="AA73:AC73"/>
    <mergeCell ref="AA74:AC74"/>
    <mergeCell ref="AA75:AC75"/>
    <mergeCell ref="AA76:AC76"/>
    <mergeCell ref="R69:W69"/>
    <mergeCell ref="R71:W71"/>
    <mergeCell ref="R72:W72"/>
    <mergeCell ref="R73:W73"/>
    <mergeCell ref="R74:W74"/>
    <mergeCell ref="R75:W75"/>
    <mergeCell ref="R76:W76"/>
    <mergeCell ref="R77:W77"/>
    <mergeCell ref="X69:Z69"/>
    <mergeCell ref="X70:Z70"/>
    <mergeCell ref="R70:W70"/>
    <mergeCell ref="X72:Z72"/>
    <mergeCell ref="X73:Z73"/>
    <mergeCell ref="X74:Z74"/>
    <mergeCell ref="X75:Z75"/>
    <mergeCell ref="X76:Z76"/>
    <mergeCell ref="X77:Z77"/>
    <mergeCell ref="X71:Z71"/>
    <mergeCell ref="H69:J69"/>
    <mergeCell ref="H71:J71"/>
    <mergeCell ref="H72:J72"/>
    <mergeCell ref="H73:J73"/>
    <mergeCell ref="H74:J74"/>
    <mergeCell ref="H75:J75"/>
    <mergeCell ref="H76:J76"/>
    <mergeCell ref="H77:J77"/>
    <mergeCell ref="K69:M69"/>
    <mergeCell ref="K71:M71"/>
    <mergeCell ref="K72:M72"/>
    <mergeCell ref="K73:M73"/>
    <mergeCell ref="K74:M74"/>
    <mergeCell ref="K75:M75"/>
    <mergeCell ref="K76:M76"/>
    <mergeCell ref="K77:M77"/>
    <mergeCell ref="H70:J70"/>
    <mergeCell ref="K70:M70"/>
    <mergeCell ref="A69:B69"/>
    <mergeCell ref="E69:G69"/>
    <mergeCell ref="A71:B71"/>
    <mergeCell ref="A72:B72"/>
    <mergeCell ref="A73:B73"/>
    <mergeCell ref="A74:B74"/>
    <mergeCell ref="A75:B75"/>
    <mergeCell ref="A76:B76"/>
    <mergeCell ref="AE1:AH1"/>
    <mergeCell ref="AE2:AH3"/>
    <mergeCell ref="AE4:AH5"/>
    <mergeCell ref="AE6:AH7"/>
    <mergeCell ref="AE8:AH9"/>
    <mergeCell ref="AE10:AH11"/>
    <mergeCell ref="AE12:AH13"/>
    <mergeCell ref="AE14:AH15"/>
    <mergeCell ref="AE16:AH17"/>
    <mergeCell ref="I25:L25"/>
    <mergeCell ref="T25:Y25"/>
    <mergeCell ref="I26:K26"/>
    <mergeCell ref="N26:Q26"/>
    <mergeCell ref="T26:Y26"/>
    <mergeCell ref="C28:F28"/>
    <mergeCell ref="I28:L28"/>
    <mergeCell ref="T28:Y28"/>
    <mergeCell ref="A20:G20"/>
    <mergeCell ref="A22:G22"/>
    <mergeCell ref="Z18:AC18"/>
    <mergeCell ref="J22:L22"/>
    <mergeCell ref="T22:Y22"/>
    <mergeCell ref="A23:F23"/>
    <mergeCell ref="T23:Y23"/>
    <mergeCell ref="A2:B3"/>
    <mergeCell ref="C2:F3"/>
    <mergeCell ref="G3:J3"/>
    <mergeCell ref="O2:O3"/>
    <mergeCell ref="G4:J4"/>
    <mergeCell ref="K4:N4"/>
    <mergeCell ref="Z2:Z3"/>
    <mergeCell ref="AA2:AC3"/>
    <mergeCell ref="G2:J2"/>
    <mergeCell ref="K2:N2"/>
    <mergeCell ref="G6:J6"/>
    <mergeCell ref="Z12:Z13"/>
    <mergeCell ref="AA12:AC13"/>
    <mergeCell ref="Z10:Z11"/>
    <mergeCell ref="AA10:AC11"/>
    <mergeCell ref="K11:N11"/>
    <mergeCell ref="AD39:AG39"/>
    <mergeCell ref="C36:F36"/>
    <mergeCell ref="C29:E29"/>
    <mergeCell ref="I29:K29"/>
    <mergeCell ref="N29:Q29"/>
    <mergeCell ref="T29:Y29"/>
    <mergeCell ref="T36:W36"/>
    <mergeCell ref="A38:A43"/>
    <mergeCell ref="A44:A46"/>
    <mergeCell ref="R44:R46"/>
    <mergeCell ref="A35:A37"/>
    <mergeCell ref="R35:R37"/>
    <mergeCell ref="AD2:AD3"/>
    <mergeCell ref="AD4:AD5"/>
    <mergeCell ref="Z4:Z5"/>
    <mergeCell ref="AA4:AC5"/>
    <mergeCell ref="U2:U3"/>
    <mergeCell ref="AI4:AL4"/>
    <mergeCell ref="AI5:AL5"/>
    <mergeCell ref="K8:N8"/>
    <mergeCell ref="P8:R8"/>
    <mergeCell ref="Z6:Z7"/>
    <mergeCell ref="AA6:AC7"/>
    <mergeCell ref="K6:N6"/>
    <mergeCell ref="P6:R6"/>
    <mergeCell ref="AD6:AD7"/>
    <mergeCell ref="AD8:AD9"/>
    <mergeCell ref="Z8:Z9"/>
    <mergeCell ref="AA8:AC9"/>
    <mergeCell ref="AI6:AL6"/>
    <mergeCell ref="AI8:AL8"/>
    <mergeCell ref="P4:R4"/>
    <mergeCell ref="AD10:AD11"/>
    <mergeCell ref="AD12:AD13"/>
    <mergeCell ref="AI10:AL10"/>
    <mergeCell ref="AI12:AL12"/>
    <mergeCell ref="Z16:Z17"/>
    <mergeCell ref="AA16:AC17"/>
    <mergeCell ref="Z14:Z15"/>
    <mergeCell ref="AA14:AC15"/>
    <mergeCell ref="AD14:AD15"/>
    <mergeCell ref="AD16:AD17"/>
    <mergeCell ref="AI14:AL14"/>
    <mergeCell ref="AI16:AL16"/>
    <mergeCell ref="C1:F1"/>
    <mergeCell ref="G1:J1"/>
    <mergeCell ref="K1:N1"/>
    <mergeCell ref="P1:R1"/>
    <mergeCell ref="S1:T1"/>
    <mergeCell ref="A16:B17"/>
    <mergeCell ref="C4:F5"/>
    <mergeCell ref="C6:F7"/>
    <mergeCell ref="C8:F9"/>
    <mergeCell ref="C10:F11"/>
    <mergeCell ref="C12:F13"/>
    <mergeCell ref="C14:F15"/>
    <mergeCell ref="C16:F17"/>
    <mergeCell ref="A4:B5"/>
    <mergeCell ref="A6:B7"/>
    <mergeCell ref="A8:B9"/>
    <mergeCell ref="A10:B11"/>
    <mergeCell ref="A12:B13"/>
    <mergeCell ref="A14:B15"/>
    <mergeCell ref="G17:J17"/>
    <mergeCell ref="K3:N3"/>
    <mergeCell ref="K5:N5"/>
    <mergeCell ref="K7:N7"/>
    <mergeCell ref="K9:N9"/>
    <mergeCell ref="K13:N13"/>
    <mergeCell ref="K15:N15"/>
    <mergeCell ref="K17:N17"/>
    <mergeCell ref="G5:J5"/>
    <mergeCell ref="G7:J7"/>
    <mergeCell ref="G9:J9"/>
    <mergeCell ref="G11:J11"/>
    <mergeCell ref="G13:J13"/>
    <mergeCell ref="G15:J15"/>
    <mergeCell ref="G16:J16"/>
    <mergeCell ref="K16:N16"/>
    <mergeCell ref="G14:J14"/>
    <mergeCell ref="K14:N14"/>
    <mergeCell ref="G12:J12"/>
    <mergeCell ref="K12:N12"/>
    <mergeCell ref="G10:J10"/>
    <mergeCell ref="K10:N10"/>
    <mergeCell ref="G8:J8"/>
    <mergeCell ref="O16:O17"/>
    <mergeCell ref="P2:R3"/>
    <mergeCell ref="O4:O5"/>
    <mergeCell ref="O6:O7"/>
    <mergeCell ref="O8:O9"/>
    <mergeCell ref="O10:O11"/>
    <mergeCell ref="O12:O13"/>
    <mergeCell ref="O14:O15"/>
    <mergeCell ref="P16:R16"/>
    <mergeCell ref="P14:R14"/>
    <mergeCell ref="P12:R12"/>
    <mergeCell ref="P10:R10"/>
    <mergeCell ref="S14:T15"/>
    <mergeCell ref="P5:R5"/>
    <mergeCell ref="P7:R7"/>
    <mergeCell ref="P9:R9"/>
    <mergeCell ref="P11:R11"/>
    <mergeCell ref="P13:R13"/>
    <mergeCell ref="P15:R15"/>
    <mergeCell ref="P17:R17"/>
    <mergeCell ref="S2:T3"/>
    <mergeCell ref="C18:F18"/>
    <mergeCell ref="U16:U17"/>
    <mergeCell ref="AA1:AC1"/>
    <mergeCell ref="U4:U5"/>
    <mergeCell ref="U6:U7"/>
    <mergeCell ref="U8:U9"/>
    <mergeCell ref="U10:U11"/>
    <mergeCell ref="U12:U13"/>
    <mergeCell ref="U14:U15"/>
    <mergeCell ref="V2:Y3"/>
    <mergeCell ref="V4:Y5"/>
    <mergeCell ref="V6:Y7"/>
    <mergeCell ref="V8:Y9"/>
    <mergeCell ref="V10:Y11"/>
    <mergeCell ref="V12:Y13"/>
    <mergeCell ref="V14:Y15"/>
    <mergeCell ref="V16:Y17"/>
    <mergeCell ref="S16:T17"/>
    <mergeCell ref="V1:Y1"/>
    <mergeCell ref="S4:T5"/>
    <mergeCell ref="S6:T7"/>
    <mergeCell ref="S8:T9"/>
    <mergeCell ref="S10:T11"/>
    <mergeCell ref="S12:T13"/>
    <mergeCell ref="AK36:AN36"/>
    <mergeCell ref="C37:F37"/>
    <mergeCell ref="T37:W37"/>
    <mergeCell ref="AJ32:AK32"/>
    <mergeCell ref="AW32:AY33"/>
    <mergeCell ref="A34:Q34"/>
    <mergeCell ref="R34:AH34"/>
    <mergeCell ref="AI34:AY34"/>
    <mergeCell ref="AK37:AN37"/>
    <mergeCell ref="H36:K36"/>
    <mergeCell ref="M36:P36"/>
    <mergeCell ref="Y36:AB36"/>
    <mergeCell ref="AD36:AG36"/>
    <mergeCell ref="AU37:AX37"/>
    <mergeCell ref="AP36:AS36"/>
    <mergeCell ref="AU36:AX36"/>
    <mergeCell ref="H37:K37"/>
    <mergeCell ref="M37:P37"/>
    <mergeCell ref="Y37:AB37"/>
    <mergeCell ref="AD37:AG37"/>
    <mergeCell ref="AP37:AS37"/>
    <mergeCell ref="AI35:AI37"/>
    <mergeCell ref="A32:L32"/>
    <mergeCell ref="M32:O32"/>
    <mergeCell ref="AK39:AN39"/>
    <mergeCell ref="AP39:AS39"/>
    <mergeCell ref="S42:X42"/>
    <mergeCell ref="AD42:AG42"/>
    <mergeCell ref="T43:V43"/>
    <mergeCell ref="Y43:AB43"/>
    <mergeCell ref="AD43:AG43"/>
    <mergeCell ref="AU39:AX39"/>
    <mergeCell ref="C40:E40"/>
    <mergeCell ref="H40:K40"/>
    <mergeCell ref="M40:P40"/>
    <mergeCell ref="T40:V40"/>
    <mergeCell ref="Y40:AB40"/>
    <mergeCell ref="AD40:AG40"/>
    <mergeCell ref="AK40:AM40"/>
    <mergeCell ref="C39:F39"/>
    <mergeCell ref="H39:K39"/>
    <mergeCell ref="M39:P39"/>
    <mergeCell ref="T39:W39"/>
    <mergeCell ref="Y39:AB39"/>
    <mergeCell ref="R38:R43"/>
    <mergeCell ref="AI38:AI43"/>
    <mergeCell ref="B42:G42"/>
    <mergeCell ref="C43:E43"/>
    <mergeCell ref="AU45:AX45"/>
    <mergeCell ref="H46:K46"/>
    <mergeCell ref="M46:P46"/>
    <mergeCell ref="Y46:AB46"/>
    <mergeCell ref="AD46:AG46"/>
    <mergeCell ref="AP46:AS46"/>
    <mergeCell ref="AU46:AX46"/>
    <mergeCell ref="AP40:AS40"/>
    <mergeCell ref="AU40:AX40"/>
    <mergeCell ref="AI44:AI46"/>
    <mergeCell ref="H45:K45"/>
    <mergeCell ref="M45:P45"/>
    <mergeCell ref="Y45:AB45"/>
    <mergeCell ref="AD45:AG45"/>
    <mergeCell ref="AP45:AS45"/>
    <mergeCell ref="H43:K43"/>
    <mergeCell ref="M43:P43"/>
    <mergeCell ref="M42:P42"/>
    <mergeCell ref="C49:F49"/>
    <mergeCell ref="H49:K49"/>
    <mergeCell ref="M49:P49"/>
    <mergeCell ref="T49:W49"/>
    <mergeCell ref="Y49:AB49"/>
    <mergeCell ref="AD49:AG49"/>
    <mergeCell ref="AK49:AN49"/>
    <mergeCell ref="AI47:AI54"/>
    <mergeCell ref="C48:F48"/>
    <mergeCell ref="H48:K48"/>
    <mergeCell ref="M48:P48"/>
    <mergeCell ref="T48:W48"/>
    <mergeCell ref="Y48:AB48"/>
    <mergeCell ref="AD48:AG48"/>
    <mergeCell ref="C54:I54"/>
    <mergeCell ref="K54:P54"/>
    <mergeCell ref="T54:Z54"/>
    <mergeCell ref="H52:K52"/>
    <mergeCell ref="M52:P52"/>
    <mergeCell ref="Y52:AB52"/>
    <mergeCell ref="AD52:AG52"/>
    <mergeCell ref="AP52:AS52"/>
    <mergeCell ref="AU52:AX52"/>
    <mergeCell ref="AP49:AS49"/>
    <mergeCell ref="AU49:AX49"/>
    <mergeCell ref="H51:K51"/>
    <mergeCell ref="M51:P51"/>
    <mergeCell ref="Y51:AB51"/>
    <mergeCell ref="AD51:AG51"/>
    <mergeCell ref="AP51:AS51"/>
    <mergeCell ref="R47:R54"/>
    <mergeCell ref="AB54:AG54"/>
    <mergeCell ref="AK48:AN48"/>
    <mergeCell ref="AP48:AS48"/>
    <mergeCell ref="AU48:AX48"/>
    <mergeCell ref="AU51:AX51"/>
    <mergeCell ref="AK54:AQ54"/>
    <mergeCell ref="AS54:AX54"/>
    <mergeCell ref="O62:R62"/>
    <mergeCell ref="D63:F63"/>
    <mergeCell ref="A59:C60"/>
    <mergeCell ref="D61:F61"/>
    <mergeCell ref="A55:A58"/>
    <mergeCell ref="W56:Z56"/>
    <mergeCell ref="W57:Z57"/>
    <mergeCell ref="O60:V60"/>
    <mergeCell ref="W60:AD60"/>
    <mergeCell ref="A61:C65"/>
    <mergeCell ref="D64:F64"/>
    <mergeCell ref="W61:Z61"/>
    <mergeCell ref="W62:Z62"/>
    <mergeCell ref="D62:F62"/>
    <mergeCell ref="S65:V65"/>
    <mergeCell ref="K18:N18"/>
    <mergeCell ref="P32:Q32"/>
    <mergeCell ref="R32:AH32"/>
    <mergeCell ref="V18:Y18"/>
    <mergeCell ref="A47:A54"/>
    <mergeCell ref="A66:F66"/>
    <mergeCell ref="O59:V59"/>
    <mergeCell ref="W59:AD59"/>
    <mergeCell ref="G62:J62"/>
    <mergeCell ref="G63:J63"/>
    <mergeCell ref="G64:J64"/>
    <mergeCell ref="G65:J65"/>
    <mergeCell ref="K62:N62"/>
    <mergeCell ref="K63:N63"/>
    <mergeCell ref="K64:N64"/>
    <mergeCell ref="K65:N65"/>
    <mergeCell ref="D65:F65"/>
    <mergeCell ref="G59:N59"/>
    <mergeCell ref="G60:N60"/>
    <mergeCell ref="G61:J61"/>
    <mergeCell ref="K61:N61"/>
    <mergeCell ref="D59:F59"/>
    <mergeCell ref="D60:F60"/>
    <mergeCell ref="O61:R61"/>
    <mergeCell ref="T104:W104"/>
    <mergeCell ref="AC104:AF104"/>
    <mergeCell ref="T105:W105"/>
    <mergeCell ref="T106:W106"/>
    <mergeCell ref="AR101:AU101"/>
    <mergeCell ref="G18:J18"/>
    <mergeCell ref="G66:N66"/>
    <mergeCell ref="O66:V66"/>
    <mergeCell ref="W66:AD66"/>
    <mergeCell ref="W63:Z63"/>
    <mergeCell ref="W64:Z64"/>
    <mergeCell ref="W65:Z65"/>
    <mergeCell ref="AA61:AD61"/>
    <mergeCell ref="AA62:AD62"/>
    <mergeCell ref="AA63:AD63"/>
    <mergeCell ref="AA64:AD64"/>
    <mergeCell ref="AA65:AD65"/>
    <mergeCell ref="O63:R63"/>
    <mergeCell ref="O64:R64"/>
    <mergeCell ref="O65:R65"/>
    <mergeCell ref="S61:V61"/>
    <mergeCell ref="S62:V62"/>
    <mergeCell ref="S63:V63"/>
    <mergeCell ref="S64:V64"/>
  </mergeCells>
  <phoneticPr fontId="2"/>
  <pageMargins left="0.70866141732283472" right="0.70866141732283472" top="0.74803149606299213" bottom="0.74803149606299213" header="0.31496062992125984" footer="0.31496062992125984"/>
  <pageSetup paperSize="9" scale="53" fitToHeight="0" orientation="portrait" verticalDpi="0" r:id="rId1"/>
  <rowBreaks count="2" manualBreakCount="2">
    <brk id="33" max="16383" man="1"/>
    <brk id="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試算シミュレーション</vt:lpstr>
      <vt:lpstr>給与所得</vt:lpstr>
      <vt:lpstr>年金所得</vt:lpstr>
      <vt:lpstr>税額計算</vt:lpstr>
      <vt:lpstr>試算シミュレーション!Print_Area</vt:lpstr>
      <vt:lpstr>税額計算!Print_Area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YFU24R016</cp:lastModifiedBy>
  <cp:lastPrinted>2025-06-12T10:01:07Z</cp:lastPrinted>
  <dcterms:created xsi:type="dcterms:W3CDTF">2024-08-26T05:30:22Z</dcterms:created>
  <dcterms:modified xsi:type="dcterms:W3CDTF">2025-09-05T01:12:16Z</dcterms:modified>
  <cp:contentStatus/>
</cp:coreProperties>
</file>